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hurch Office\Desktop\"/>
    </mc:Choice>
  </mc:AlternateContent>
  <xr:revisionPtr revIDLastSave="0" documentId="8_{66EAB493-3974-4BCA-B3BD-F25E82A3585F}" xr6:coauthVersionLast="47" xr6:coauthVersionMax="47" xr10:uidLastSave="{00000000-0000-0000-0000-000000000000}"/>
  <bookViews>
    <workbookView xWindow="1470" yWindow="1470" windowWidth="28800" windowHeight="15435" firstSheet="1" activeTab="1" xr2:uid="{00000000-000D-0000-FFFF-FFFF00000000}"/>
  </bookViews>
  <sheets>
    <sheet name="WORKSHEET 16-17 vs 17-18 (2)" sheetId="17" state="hidden" r:id="rId1"/>
    <sheet name="2025 - 2026" sheetId="15" r:id="rId2"/>
    <sheet name="Data FY24" sheetId="31" state="hidden" r:id="rId3"/>
    <sheet name="BS FY24 vs FY23" sheetId="30" state="hidden" r:id="rId4"/>
    <sheet name="BS FY22 vs FY21" sheetId="23" state="hidden" r:id="rId5"/>
    <sheet name="FY21-FY22 P&amp;L" sheetId="22" state="hidden" r:id="rId6"/>
    <sheet name="2nd Collections FY22" sheetId="26" state="hidden" r:id="rId7"/>
    <sheet name="2016 - 2017" sheetId="2" state="hidden" r:id="rId8"/>
    <sheet name="2017 - 2018" sheetId="10" state="hidden" r:id="rId9"/>
    <sheet name="BS 2016-2017" sheetId="5" state="hidden" r:id="rId10"/>
    <sheet name="BUDGET PG 5" sheetId="4" state="hidden" r:id="rId11"/>
  </sheets>
  <externalReferences>
    <externalReference r:id="rId12"/>
  </externalReferences>
  <definedNames>
    <definedName name="_xlnm.Print_Area" localSheetId="7">'2016 - 2017'!$A$1:$I$105</definedName>
    <definedName name="_xlnm.Print_Area" localSheetId="8">'2017 - 2018'!$A$1:$I$107</definedName>
    <definedName name="_xlnm.Print_Area" localSheetId="1">'2025 - 2026'!$A$1:$I$106</definedName>
    <definedName name="_xlnm.Print_Area" localSheetId="4">'BS FY22 vs FY21'!$A$1:$C$87</definedName>
    <definedName name="_xlnm.Print_Area" localSheetId="10">'BUDGET PG 5'!$A$1:$H$50</definedName>
    <definedName name="_xlnm.Print_Titles" localSheetId="9">'BS 2016-2017'!$A:$F,'BS 2016-2017'!$1:$1</definedName>
    <definedName name="QB_COLUMN_1" localSheetId="6" hidden="1">'2nd Collections FY22'!#REF!</definedName>
    <definedName name="QB_COLUMN_20" localSheetId="6" hidden="1">'2nd Collections FY22'!$H$1</definedName>
    <definedName name="QB_COLUMN_29" localSheetId="9" hidden="1">'BS 2016-2017'!$G$1</definedName>
    <definedName name="QB_COLUMN_3" localSheetId="6" hidden="1">'2nd Collections FY22'!$C$1</definedName>
    <definedName name="QB_COLUMN_30" localSheetId="6" hidden="1">'2nd Collections FY22'!$I$1</definedName>
    <definedName name="QB_COLUMN_31" localSheetId="6" hidden="1">'2nd Collections FY22'!$J$1</definedName>
    <definedName name="QB_COLUMN_4" localSheetId="6" hidden="1">'2nd Collections FY22'!$D$1</definedName>
    <definedName name="QB_COLUMN_5" localSheetId="6" hidden="1">'2nd Collections FY22'!$E$1</definedName>
    <definedName name="QB_COLUMN_59200" localSheetId="4" hidden="1">'BS FY22 vs FY21'!$E$2</definedName>
    <definedName name="QB_COLUMN_59200" localSheetId="5" hidden="1">'FY21-FY22 P&amp;L'!$D$2</definedName>
    <definedName name="QB_COLUMN_61210" localSheetId="4" hidden="1">'BS FY22 vs FY21'!$F$2</definedName>
    <definedName name="QB_COLUMN_61210" localSheetId="5" hidden="1">'FY21-FY22 P&amp;L'!$E$2</definedName>
    <definedName name="QB_COLUMN_63620" localSheetId="4" hidden="1">'BS FY22 vs FY21'!$G$2</definedName>
    <definedName name="QB_COLUMN_63620" localSheetId="5" hidden="1">'FY21-FY22 P&amp;L'!$F$2</definedName>
    <definedName name="QB_COLUMN_64830" localSheetId="4" hidden="1">'BS FY22 vs FY21'!$H$2</definedName>
    <definedName name="QB_COLUMN_7" localSheetId="6" hidden="1">'2nd Collections FY22'!$F$1</definedName>
    <definedName name="QB_COLUMN_8" localSheetId="6" hidden="1">'2nd Collections FY22'!$G$1</definedName>
    <definedName name="QB_DATA_0" localSheetId="6" hidden="1">'2nd Collections FY22'!$2:$2,'2nd Collections FY22'!$3:$3,'2nd Collections FY22'!$4:$4,'2nd Collections FY22'!$5:$5,'2nd Collections FY22'!$6:$6,'2nd Collections FY22'!$7:$7,'2nd Collections FY22'!$8:$8,'2nd Collections FY22'!$9:$9,'2nd Collections FY22'!$10:$10,'2nd Collections FY22'!$11:$11,'2nd Collections FY22'!$12:$12,'2nd Collections FY22'!$14:$14,'2nd Collections FY22'!$15:$15,'2nd Collections FY22'!$16:$16,'2nd Collections FY22'!$17:$17,'2nd Collections FY22'!$18:$18</definedName>
    <definedName name="QB_DATA_0" localSheetId="9" hidden="1">'BS 2016-2017'!$7:$7,'BS 2016-2017'!$8:$8,'BS 2016-2017'!$9:$9,'BS 2016-2017'!$10:$10,'BS 2016-2017'!$14:$14,'BS 2016-2017'!$18:$18,'BS 2016-2017'!$27:$27,'BS 2016-2017'!$28:$28,'BS 2016-2017'!$29:$29,'BS 2016-2017'!$35:$35,'BS 2016-2017'!$36:$36,'BS 2016-2017'!$37:$37</definedName>
    <definedName name="QB_DATA_0" localSheetId="4" hidden="1">'BS FY22 vs FY21'!$8:$8,'BS FY22 vs FY21'!$9:$9,'BS FY22 vs FY21'!$10:$10,'BS FY22 vs FY21'!$11:$11,'BS FY22 vs FY21'!$12:$12,'BS FY22 vs FY21'!$15:$15,'BS FY22 vs FY21'!$20:$20,'BS FY22 vs FY21'!$27:$27,'BS FY22 vs FY21'!$30:$30,'BS FY22 vs FY21'!$31:$31,'BS FY22 vs FY21'!$41:$41,'BS FY22 vs FY21'!$43:$43,'BS FY22 vs FY21'!$47:$47,'BS FY22 vs FY21'!$49:$49,'BS FY22 vs FY21'!$50:$50,'BS FY22 vs FY21'!$53:$53</definedName>
    <definedName name="QB_DATA_0" localSheetId="5" hidden="1">'FY21-FY22 P&amp;L'!$6:$6,'FY21-FY22 P&amp;L'!$7:$7,'FY21-FY22 P&amp;L'!$10:$10,'FY21-FY22 P&amp;L'!$11:$11,'FY21-FY22 P&amp;L'!$12:$12,'FY21-FY22 P&amp;L'!$13:$13,'FY21-FY22 P&amp;L'!$14:$14,'FY21-FY22 P&amp;L'!$15:$15,'FY21-FY22 P&amp;L'!$18:$18,'FY21-FY22 P&amp;L'!$19:$19,'FY21-FY22 P&amp;L'!$20:$20,'FY21-FY22 P&amp;L'!$23:$23,'FY21-FY22 P&amp;L'!$24:$24,'FY21-FY22 P&amp;L'!$25:$25,'FY21-FY22 P&amp;L'!$26:$26,'FY21-FY22 P&amp;L'!$27:$27</definedName>
    <definedName name="QB_DATA_0_1" localSheetId="4" hidden="1">'BS FY22 vs FY21'!$8:$8,'BS FY22 vs FY21'!$9:$9,'BS FY22 vs FY21'!$10:$10,'BS FY22 vs FY21'!$11:$11,'BS FY22 vs FY21'!$12:$12,'BS FY22 vs FY21'!$15:$15,'BS FY22 vs FY21'!$20:$20,'BS FY22 vs FY21'!$21:$21,'BS FY22 vs FY21'!$28:$28,'BS FY22 vs FY21'!$29:$29,'BS FY22 vs FY21'!$39:$39,'BS FY22 vs FY21'!$41:$41,'BS FY22 vs FY21'!$45:$45,'BS FY22 vs FY21'!$47:$47,'BS FY22 vs FY21'!$48:$48,'BS FY22 vs FY21'!$51:$51</definedName>
    <definedName name="QB_DATA_1" localSheetId="6" hidden="1">'2nd Collections FY22'!$19:$19,'2nd Collections FY22'!$20:$20,'2nd Collections FY22'!$21:$21,'2nd Collections FY22'!$22:$22,'2nd Collections FY22'!$23:$23,'2nd Collections FY22'!$24:$24,'2nd Collections FY22'!$26:$26,'2nd Collections FY22'!$27:$27,'2nd Collections FY22'!$28:$28,'2nd Collections FY22'!$29:$29,'2nd Collections FY22'!$30:$30,'2nd Collections FY22'!$31:$31,'2nd Collections FY22'!$32:$32,'2nd Collections FY22'!$33:$33,'2nd Collections FY22'!$34:$34,'2nd Collections FY22'!$35:$35</definedName>
    <definedName name="QB_DATA_1" localSheetId="4" hidden="1">'BS FY22 vs FY21'!$56:$56,'BS FY22 vs FY21'!$57:$57,'BS FY22 vs FY21'!$58:$58,'BS FY22 vs FY21'!$59:$59,'BS FY22 vs FY21'!$60:$60,'BS FY22 vs FY21'!$61:$61,'BS FY22 vs FY21'!$62:$62,'BS FY22 vs FY21'!$63:$63,'BS FY22 vs FY21'!$64:$64,'BS FY22 vs FY21'!$71:$71,'BS FY22 vs FY21'!$74:$74,'BS FY22 vs FY21'!$80:$80,'BS FY22 vs FY21'!$81:$81,'BS FY22 vs FY21'!$82:$82</definedName>
    <definedName name="QB_DATA_1" localSheetId="5" hidden="1">'FY21-FY22 P&amp;L'!$28:$28,'FY21-FY22 P&amp;L'!$29:$29,'FY21-FY22 P&amp;L'!$30:$30,'FY21-FY22 P&amp;L'!$31:$31,'FY21-FY22 P&amp;L'!$32:$32,'FY21-FY22 P&amp;L'!$33:$33,'FY21-FY22 P&amp;L'!$34:$34,'FY21-FY22 P&amp;L'!$35:$35,'FY21-FY22 P&amp;L'!$36:$36,'FY21-FY22 P&amp;L'!$39:$39,'FY21-FY22 P&amp;L'!$40:$40,'FY21-FY22 P&amp;L'!$41:$41,'FY21-FY22 P&amp;L'!$42:$42,'FY21-FY22 P&amp;L'!$44:$44,'FY21-FY22 P&amp;L'!$45:$45,'FY21-FY22 P&amp;L'!$47:$47</definedName>
    <definedName name="QB_DATA_1_1" localSheetId="4" hidden="1">'BS FY22 vs FY21'!$54:$54,'BS FY22 vs FY21'!$55:$55,'BS FY22 vs FY21'!$56:$56,'BS FY22 vs FY21'!$57:$57,'BS FY22 vs FY21'!$58:$58,'BS FY22 vs FY21'!$59:$59,'BS FY22 vs FY21'!$60:$60,'BS FY22 vs FY21'!$61:$61,'BS FY22 vs FY21'!$62:$62,'BS FY22 vs FY21'!$63:$63,'BS FY22 vs FY21'!$64:$64,'BS FY22 vs FY21'!$65:$65,'BS FY22 vs FY21'!$72:$72,'BS FY22 vs FY21'!$78:$78,'BS FY22 vs FY21'!$79:$79,'BS FY22 vs FY21'!$80:$80</definedName>
    <definedName name="QB_DATA_2" localSheetId="6" hidden="1">'2nd Collections FY22'!$36:$36,'2nd Collections FY22'!$37:$37,'2nd Collections FY22'!$38:$38,'2nd Collections FY22'!$39:$39,'2nd Collections FY22'!$40:$40,'2nd Collections FY22'!$41:$41,'2nd Collections FY22'!$42:$42,'2nd Collections FY22'!$43:$43,'2nd Collections FY22'!$44:$44,'2nd Collections FY22'!$45:$45,'2nd Collections FY22'!$46:$46,'2nd Collections FY22'!$48:$48,'2nd Collections FY22'!$49:$49,'2nd Collections FY22'!$50:$50,'2nd Collections FY22'!$51:$51,'2nd Collections FY22'!$52:$52</definedName>
    <definedName name="QB_DATA_2" localSheetId="5" hidden="1">'FY21-FY22 P&amp;L'!$48:$48,'FY21-FY22 P&amp;L'!$54:$54,'FY21-FY22 P&amp;L'!$55:$55,'FY21-FY22 P&amp;L'!$58:$58,'FY21-FY22 P&amp;L'!$59:$59,'FY21-FY22 P&amp;L'!$61:$61,'FY21-FY22 P&amp;L'!$63:$63,'FY21-FY22 P&amp;L'!$64:$64,'FY21-FY22 P&amp;L'!$65:$65,'FY21-FY22 P&amp;L'!$66:$66,'FY21-FY22 P&amp;L'!$67:$67,'FY21-FY22 P&amp;L'!$68:$68,'FY21-FY22 P&amp;L'!$70:$70,'FY21-FY22 P&amp;L'!$71:$71,'FY21-FY22 P&amp;L'!$74:$74,'FY21-FY22 P&amp;L'!$75:$75</definedName>
    <definedName name="QB_DATA_3" localSheetId="6" hidden="1">'2nd Collections FY22'!$53:$53,'2nd Collections FY22'!$54:$54,'2nd Collections FY22'!$55:$55,'2nd Collections FY22'!$56:$56,'2nd Collections FY22'!$57:$57,'2nd Collections FY22'!$58:$58,'2nd Collections FY22'!$59:$59,'2nd Collections FY22'!$61:$61,'2nd Collections FY22'!$62:$62,'2nd Collections FY22'!$63:$63,'2nd Collections FY22'!$64:$64,'2nd Collections FY22'!$65:$65,'2nd Collections FY22'!$66:$66,'2nd Collections FY22'!$67:$67,'2nd Collections FY22'!$68:$68,'2nd Collections FY22'!$69:$69</definedName>
    <definedName name="QB_DATA_3" localSheetId="5" hidden="1">'FY21-FY22 P&amp;L'!$77:$77,'FY21-FY22 P&amp;L'!$79:$79,'FY21-FY22 P&amp;L'!$81:$81,'FY21-FY22 P&amp;L'!$82:$82,'FY21-FY22 P&amp;L'!$83:$83,'FY21-FY22 P&amp;L'!$84:$84,'FY21-FY22 P&amp;L'!$85:$85,'FY21-FY22 P&amp;L'!$86:$86,'FY21-FY22 P&amp;L'!$87:$87,'FY21-FY22 P&amp;L'!$88:$88,'FY21-FY22 P&amp;L'!$89:$89,'FY21-FY22 P&amp;L'!$90:$90,'FY21-FY22 P&amp;L'!$91:$91,'FY21-FY22 P&amp;L'!$92:$92,'FY21-FY22 P&amp;L'!$93:$93,'FY21-FY22 P&amp;L'!$94:$94</definedName>
    <definedName name="QB_DATA_4" localSheetId="6" hidden="1">'2nd Collections FY22'!$70:$70,'2nd Collections FY22'!$72:$72,'2nd Collections FY22'!$73:$73,'2nd Collections FY22'!$75:$75,'2nd Collections FY22'!$76:$76,'2nd Collections FY22'!$77:$77,'2nd Collections FY22'!$78:$78,'2nd Collections FY22'!$79:$79,'2nd Collections FY22'!$80:$80,'2nd Collections FY22'!$81:$81,'2nd Collections FY22'!$83:$83,'2nd Collections FY22'!$84:$84,'2nd Collections FY22'!$85:$85,'2nd Collections FY22'!$86:$86,'2nd Collections FY22'!$87:$87,'2nd Collections FY22'!$88:$88</definedName>
    <definedName name="QB_DATA_4" localSheetId="5" hidden="1">'FY21-FY22 P&amp;L'!$97:$97,'FY21-FY22 P&amp;L'!$98:$98,'FY21-FY22 P&amp;L'!$99:$99,'FY21-FY22 P&amp;L'!$101:$101,'FY21-FY22 P&amp;L'!$103:$103,'FY21-FY22 P&amp;L'!$104:$104,'FY21-FY22 P&amp;L'!$105:$105,'FY21-FY22 P&amp;L'!$106:$106,'FY21-FY22 P&amp;L'!$109:$109,'FY21-FY22 P&amp;L'!$110:$110,'FY21-FY22 P&amp;L'!$111:$111,'FY21-FY22 P&amp;L'!$112:$112,'FY21-FY22 P&amp;L'!$113:$113,'FY21-FY22 P&amp;L'!$114:$114,'FY21-FY22 P&amp;L'!$115:$115,'FY21-FY22 P&amp;L'!$118:$118</definedName>
    <definedName name="QB_DATA_5" localSheetId="6" hidden="1">'2nd Collections FY22'!$89:$89,'2nd Collections FY22'!$90:$90,'2nd Collections FY22'!$91:$91,'2nd Collections FY22'!$92:$92,'2nd Collections FY22'!$94:$94,'2nd Collections FY22'!$95:$95,'2nd Collections FY22'!$96:$96,'2nd Collections FY22'!$97:$97,'2nd Collections FY22'!$98:$98,'2nd Collections FY22'!$99:$99,'2nd Collections FY22'!$100:$100,'2nd Collections FY22'!$101:$101,'2nd Collections FY22'!$102:$102,'2nd Collections FY22'!$103:$103,'2nd Collections FY22'!$104:$104,'2nd Collections FY22'!$105:$105</definedName>
    <definedName name="QB_DATA_5" localSheetId="5" hidden="1">'FY21-FY22 P&amp;L'!$119:$119,'FY21-FY22 P&amp;L'!$120:$120,'FY21-FY22 P&amp;L'!$121:$121,'FY21-FY22 P&amp;L'!$122:$122,'FY21-FY22 P&amp;L'!$123:$123,'FY21-FY22 P&amp;L'!$126:$126,'FY21-FY22 P&amp;L'!$127:$127,'FY21-FY22 P&amp;L'!$128:$128,'FY21-FY22 P&amp;L'!$129:$129,'FY21-FY22 P&amp;L'!$132:$132,'FY21-FY22 P&amp;L'!$133:$133,'FY21-FY22 P&amp;L'!$134:$134,'FY21-FY22 P&amp;L'!$135:$135,'FY21-FY22 P&amp;L'!$136:$136,'FY21-FY22 P&amp;L'!$139:$139,'FY21-FY22 P&amp;L'!$140:$140</definedName>
    <definedName name="QB_DATA_6" localSheetId="6" hidden="1">'2nd Collections FY22'!$106:$106,'2nd Collections FY22'!$108:$108,'2nd Collections FY22'!$109:$109,'2nd Collections FY22'!$112:$112,'2nd Collections FY22'!$113:$113,'2nd Collections FY22'!$114:$114,'2nd Collections FY22'!$115:$115,'2nd Collections FY22'!$116:$116,'2nd Collections FY22'!$117:$117,'2nd Collections FY22'!$118:$118,'2nd Collections FY22'!$120:$120,'2nd Collections FY22'!$121:$121,'2nd Collections FY22'!$122:$122,'2nd Collections FY22'!$123:$123,'2nd Collections FY22'!$125:$125,'2nd Collections FY22'!$126:$126</definedName>
    <definedName name="QB_DATA_6" localSheetId="5" hidden="1">'FY21-FY22 P&amp;L'!$143:$143,'FY21-FY22 P&amp;L'!$144:$144,'FY21-FY22 P&amp;L'!$147:$147,'FY21-FY22 P&amp;L'!$148:$148,'FY21-FY22 P&amp;L'!$151:$151,'FY21-FY22 P&amp;L'!$152:$152,'FY21-FY22 P&amp;L'!$153:$153,'FY21-FY22 P&amp;L'!$156:$156,'FY21-FY22 P&amp;L'!$157:$157,'FY21-FY22 P&amp;L'!$159:$159,'FY21-FY22 P&amp;L'!$160:$160,'FY21-FY22 P&amp;L'!$164:$164,'FY21-FY22 P&amp;L'!$168:$168</definedName>
    <definedName name="QB_DATA_7" localSheetId="6" hidden="1">'2nd Collections FY22'!$127:$127,'2nd Collections FY22'!$128:$128,'2nd Collections FY22'!$129:$129,'2nd Collections FY22'!$130:$130,'2nd Collections FY22'!$131:$131,'2nd Collections FY22'!$132:$132,'2nd Collections FY22'!$134:$134,'2nd Collections FY22'!$135:$135,'2nd Collections FY22'!$136:$136,'2nd Collections FY22'!$137:$137,'2nd Collections FY22'!$138:$138,'2nd Collections FY22'!$139:$139,'2nd Collections FY22'!$140:$140,'2nd Collections FY22'!$141:$141,'2nd Collections FY22'!$142:$142,'2nd Collections FY22'!$143:$143</definedName>
    <definedName name="QB_DATA_8" localSheetId="6" hidden="1">'2nd Collections FY22'!$144:$144,'2nd Collections FY22'!$145:$145,'2nd Collections FY22'!$146:$146,'2nd Collections FY22'!$147:$147,'2nd Collections FY22'!$148:$148,'2nd Collections FY22'!$149:$149,'2nd Collections FY22'!$150:$150</definedName>
    <definedName name="QB_FORMULA_0" localSheetId="6" hidden="1">'2nd Collections FY22'!$J$4,'2nd Collections FY22'!$J$5,'2nd Collections FY22'!$J$6,'2nd Collections FY22'!$J$7,'2nd Collections FY22'!$J$8,'2nd Collections FY22'!$J$9,'2nd Collections FY22'!$J$10,'2nd Collections FY22'!$J$11,'2nd Collections FY22'!$J$12,'2nd Collections FY22'!$I$13,'2nd Collections FY22'!$J$13,'2nd Collections FY22'!$J$15,'2nd Collections FY22'!$J$16,'2nd Collections FY22'!$J$17,'2nd Collections FY22'!$J$18,'2nd Collections FY22'!$J$19</definedName>
    <definedName name="QB_FORMULA_0" localSheetId="9" hidden="1">'BS 2016-2017'!$G$11,'BS 2016-2017'!$G$12,'BS 2016-2017'!$G$15,'BS 2016-2017'!$G$16,'BS 2016-2017'!$G$19,'BS 2016-2017'!$G$20,'BS 2016-2017'!$G$21,'BS 2016-2017'!$G$30,'BS 2016-2017'!$G$31,'BS 2016-2017'!$G$32,'BS 2016-2017'!$G$33,'BS 2016-2017'!$G$38,'BS 2016-2017'!$G$39</definedName>
    <definedName name="QB_FORMULA_0" localSheetId="4" hidden="1">'BS FY22 vs FY21'!$G$8,'BS FY22 vs FY21'!$H$8,'BS FY22 vs FY21'!$G$9,'BS FY22 vs FY21'!$H$9,'BS FY22 vs FY21'!$G$10,'BS FY22 vs FY21'!$H$10,'BS FY22 vs FY21'!$G$11,'BS FY22 vs FY21'!$H$11,'BS FY22 vs FY21'!$G$12,'BS FY22 vs FY21'!$H$12,'BS FY22 vs FY21'!$E$13,'BS FY22 vs FY21'!$F$13,'BS FY22 vs FY21'!$G$13,'BS FY22 vs FY21'!$H$13,'BS FY22 vs FY21'!$G$15,'BS FY22 vs FY21'!$H$15</definedName>
    <definedName name="QB_FORMULA_1" localSheetId="6" hidden="1">'2nd Collections FY22'!$J$20,'2nd Collections FY22'!$J$21,'2nd Collections FY22'!$J$22,'2nd Collections FY22'!$J$23,'2nd Collections FY22'!$J$24,'2nd Collections FY22'!$I$25,'2nd Collections FY22'!$J$25,'2nd Collections FY22'!$J$27,'2nd Collections FY22'!$J$28,'2nd Collections FY22'!$J$29,'2nd Collections FY22'!$J$30,'2nd Collections FY22'!$J$31,'2nd Collections FY22'!$J$32,'2nd Collections FY22'!$J$33,'2nd Collections FY22'!$J$36,'2nd Collections FY22'!$J$37</definedName>
    <definedName name="QB_FORMULA_1" localSheetId="4" hidden="1">'BS FY22 vs FY21'!$E$16,'BS FY22 vs FY21'!$F$16,'BS FY22 vs FY21'!$G$16,'BS FY22 vs FY21'!$H$16,'BS FY22 vs FY21'!$G$20,'BS FY22 vs FY21'!$H$20,'BS FY22 vs FY21'!$E$21,'BS FY22 vs FY21'!$F$21,'BS FY22 vs FY21'!$G$21,'BS FY22 vs FY21'!$H$21,'BS FY22 vs FY21'!$E$22,'BS FY22 vs FY21'!$F$22,'BS FY22 vs FY21'!$G$22,'BS FY22 vs FY21'!$H$22,'BS FY22 vs FY21'!$E$23,'BS FY22 vs FY21'!$F$23</definedName>
    <definedName name="QB_FORMULA_10" localSheetId="4" hidden="1">'BS FY22 vs FY21'!$E$84,'BS FY22 vs FY21'!$F$84,'BS FY22 vs FY21'!$G$84,'BS FY22 vs FY21'!$H$84</definedName>
    <definedName name="QB_FORMULA_2" localSheetId="6" hidden="1">'2nd Collections FY22'!$J$38,'2nd Collections FY22'!$J$39,'2nd Collections FY22'!$J$40,'2nd Collections FY22'!$J$41,'2nd Collections FY22'!$J$42,'2nd Collections FY22'!$J$43,'2nd Collections FY22'!$J$44,'2nd Collections FY22'!$J$45,'2nd Collections FY22'!$J$46,'2nd Collections FY22'!$I$47,'2nd Collections FY22'!$J$47,'2nd Collections FY22'!$J$49,'2nd Collections FY22'!$J$50,'2nd Collections FY22'!$J$51,'2nd Collections FY22'!$J$52,'2nd Collections FY22'!$J$53</definedName>
    <definedName name="QB_FORMULA_2" localSheetId="4" hidden="1">'BS FY22 vs FY21'!$G$23,'BS FY22 vs FY21'!$H$23,'BS FY22 vs FY21'!$E$24,'BS FY22 vs FY21'!$F$24,'BS FY22 vs FY21'!$G$24,'BS FY22 vs FY21'!$H$24,'BS FY22 vs FY21'!$E$25,'BS FY22 vs FY21'!$F$25,'BS FY22 vs FY21'!$G$25,'BS FY22 vs FY21'!$H$25,'BS FY22 vs FY21'!$G$27,'BS FY22 vs FY21'!$H$27,'BS FY22 vs FY21'!$E$28,'BS FY22 vs FY21'!$F$28,'BS FY22 vs FY21'!$G$28,'BS FY22 vs FY21'!$H$28</definedName>
    <definedName name="QB_FORMULA_3" localSheetId="6" hidden="1">'2nd Collections FY22'!$J$54,'2nd Collections FY22'!$J$55,'2nd Collections FY22'!$J$56,'2nd Collections FY22'!$J$57,'2nd Collections FY22'!$J$58,'2nd Collections FY22'!$J$59,'2nd Collections FY22'!$I$60,'2nd Collections FY22'!$J$60,'2nd Collections FY22'!$J$62,'2nd Collections FY22'!$J$63,'2nd Collections FY22'!$J$64,'2nd Collections FY22'!$J$65,'2nd Collections FY22'!$J$66,'2nd Collections FY22'!$J$67,'2nd Collections FY22'!$J$68,'2nd Collections FY22'!$J$69</definedName>
    <definedName name="QB_FORMULA_3" localSheetId="4" hidden="1">'BS FY22 vs FY21'!$G$30,'BS FY22 vs FY21'!$H$30,'BS FY22 vs FY21'!$G$31,'BS FY22 vs FY21'!$H$31,'BS FY22 vs FY21'!$E$32,'BS FY22 vs FY21'!$F$32,'BS FY22 vs FY21'!$G$32,'BS FY22 vs FY21'!$H$32,'BS FY22 vs FY21'!$E$33,'BS FY22 vs FY21'!$F$33,'BS FY22 vs FY21'!$G$33,'BS FY22 vs FY21'!$H$33,'BS FY22 vs FY21'!$E$34,'BS FY22 vs FY21'!$F$34,'BS FY22 vs FY21'!$G$34,'BS FY22 vs FY21'!$H$34</definedName>
    <definedName name="QB_FORMULA_4" localSheetId="6" hidden="1">'2nd Collections FY22'!$J$70,'2nd Collections FY22'!$I$71,'2nd Collections FY22'!$J$71,'2nd Collections FY22'!$J$73,'2nd Collections FY22'!$I$74,'2nd Collections FY22'!$J$74,'2nd Collections FY22'!$J$76,'2nd Collections FY22'!$J$77,'2nd Collections FY22'!$J$78,'2nd Collections FY22'!$J$79,'2nd Collections FY22'!$J$80,'2nd Collections FY22'!$J$81,'2nd Collections FY22'!$I$82,'2nd Collections FY22'!$J$82,'2nd Collections FY22'!$J$84,'2nd Collections FY22'!$J$85</definedName>
    <definedName name="QB_FORMULA_4" localSheetId="4" hidden="1">'BS FY22 vs FY21'!$G$41,'BS FY22 vs FY21'!$H$41,'BS FY22 vs FY21'!$E$42,'BS FY22 vs FY21'!$F$42,'BS FY22 vs FY21'!$G$42,'BS FY22 vs FY21'!$H$42,'BS FY22 vs FY21'!$G$43,'BS FY22 vs FY21'!$H$43,'BS FY22 vs FY21'!$E$44,'BS FY22 vs FY21'!$F$44,'BS FY22 vs FY21'!$G$44,'BS FY22 vs FY21'!$H$44,'BS FY22 vs FY21'!$E$45,'BS FY22 vs FY21'!$F$45,'BS FY22 vs FY21'!$G$45,'BS FY22 vs FY21'!$H$45</definedName>
    <definedName name="QB_FORMULA_5" localSheetId="6" hidden="1">'2nd Collections FY22'!$J$86,'2nd Collections FY22'!$J$87,'2nd Collections FY22'!$J$88,'2nd Collections FY22'!$J$89,'2nd Collections FY22'!$J$90,'2nd Collections FY22'!$J$91,'2nd Collections FY22'!$J$92,'2nd Collections FY22'!$I$93,'2nd Collections FY22'!$J$93,'2nd Collections FY22'!$J$96,'2nd Collections FY22'!$J$97,'2nd Collections FY22'!$J$98,'2nd Collections FY22'!$J$99,'2nd Collections FY22'!$J$100,'2nd Collections FY22'!$J$101,'2nd Collections FY22'!$J$102</definedName>
    <definedName name="QB_FORMULA_5" localSheetId="4" hidden="1">'BS FY22 vs FY21'!$G$47,'BS FY22 vs FY21'!$H$47,'BS FY22 vs FY21'!$G$49,'BS FY22 vs FY21'!$H$49,'BS FY22 vs FY21'!$G$50,'BS FY22 vs FY21'!$H$50,'BS FY22 vs FY21'!$E$51,'BS FY22 vs FY21'!$F$51,'BS FY22 vs FY21'!$G$51,'BS FY22 vs FY21'!$H$51,'BS FY22 vs FY21'!$G$53,'BS FY22 vs FY21'!$H$53,'BS FY22 vs FY21'!$E$54,'BS FY22 vs FY21'!$F$54,'BS FY22 vs FY21'!$G$54,'BS FY22 vs FY21'!$H$54</definedName>
    <definedName name="QB_FORMULA_6" localSheetId="6" hidden="1">'2nd Collections FY22'!$J$103,'2nd Collections FY22'!$J$104,'2nd Collections FY22'!$J$105,'2nd Collections FY22'!$J$106,'2nd Collections FY22'!$I$107,'2nd Collections FY22'!$J$107,'2nd Collections FY22'!$J$109,'2nd Collections FY22'!$I$110,'2nd Collections FY22'!$J$110,'2nd Collections FY22'!$I$111,'2nd Collections FY22'!$J$111,'2nd Collections FY22'!$J$113,'2nd Collections FY22'!$J$114,'2nd Collections FY22'!$J$115,'2nd Collections FY22'!$J$116,'2nd Collections FY22'!$J$117</definedName>
    <definedName name="QB_FORMULA_6" localSheetId="4" hidden="1">'BS FY22 vs FY21'!$G$56,'BS FY22 vs FY21'!$H$56,'BS FY22 vs FY21'!$G$57,'BS FY22 vs FY21'!$H$57,'BS FY22 vs FY21'!$G$58,'BS FY22 vs FY21'!$H$58,'BS FY22 vs FY21'!$G$59,'BS FY22 vs FY21'!$H$59,'BS FY22 vs FY21'!$G$60,'BS FY22 vs FY21'!$H$60,'BS FY22 vs FY21'!$G$61,'BS FY22 vs FY21'!$H$61,'BS FY22 vs FY21'!$G$62,'BS FY22 vs FY21'!$H$62,'BS FY22 vs FY21'!$G$63,'BS FY22 vs FY21'!$H$63</definedName>
    <definedName name="QB_FORMULA_7" localSheetId="6" hidden="1">'2nd Collections FY22'!$J$118,'2nd Collections FY22'!$I$119,'2nd Collections FY22'!$J$119,'2nd Collections FY22'!$J$121,'2nd Collections FY22'!$J$122,'2nd Collections FY22'!$J$123,'2nd Collections FY22'!$I$124,'2nd Collections FY22'!$J$124,'2nd Collections FY22'!$J$126,'2nd Collections FY22'!$J$127,'2nd Collections FY22'!$J$128,'2nd Collections FY22'!$J$129,'2nd Collections FY22'!$J$130,'2nd Collections FY22'!$J$131,'2nd Collections FY22'!$J$132,'2nd Collections FY22'!$I$133</definedName>
    <definedName name="QB_FORMULA_7" localSheetId="4" hidden="1">'BS FY22 vs FY21'!$G$64,'BS FY22 vs FY21'!$H$64,'BS FY22 vs FY21'!$E$65,'BS FY22 vs FY21'!$F$65,'BS FY22 vs FY21'!$G$65,'BS FY22 vs FY21'!$H$65,'BS FY22 vs FY21'!$E$66,'BS FY22 vs FY21'!$F$66,'BS FY22 vs FY21'!$G$66,'BS FY22 vs FY21'!$H$66,'BS FY22 vs FY21'!$E$67,'BS FY22 vs FY21'!$F$67,'BS FY22 vs FY21'!$G$67,'BS FY22 vs FY21'!$H$67,'BS FY22 vs FY21'!$G$71,'BS FY22 vs FY21'!$H$71</definedName>
    <definedName name="QB_FORMULA_8" localSheetId="6" hidden="1">'2nd Collections FY22'!$J$133,'2nd Collections FY22'!$J$135,'2nd Collections FY22'!$J$136,'2nd Collections FY22'!$J$137,'2nd Collections FY22'!$J$138,'2nd Collections FY22'!$J$139,'2nd Collections FY22'!$J$140,'2nd Collections FY22'!$J$141,'2nd Collections FY22'!$J$142,'2nd Collections FY22'!$J$143,'2nd Collections FY22'!$J$144,'2nd Collections FY22'!$J$145,'2nd Collections FY22'!$J$146,'2nd Collections FY22'!$J$147,'2nd Collections FY22'!$J$150,'2nd Collections FY22'!$I$151</definedName>
    <definedName name="QB_FORMULA_8" localSheetId="4" hidden="1">'BS FY22 vs FY21'!$E$72,'BS FY22 vs FY21'!$F$72,'BS FY22 vs FY21'!$G$72,'BS FY22 vs FY21'!$H$72,'BS FY22 vs FY21'!$G$74,'BS FY22 vs FY21'!$H$74,'BS FY22 vs FY21'!$E$75,'BS FY22 vs FY21'!$F$75,'BS FY22 vs FY21'!$G$75,'BS FY22 vs FY21'!$H$75,'BS FY22 vs FY21'!$E$76,'BS FY22 vs FY21'!$F$76,'BS FY22 vs FY21'!$G$76,'BS FY22 vs FY21'!$H$76,'BS FY22 vs FY21'!$E$77,'BS FY22 vs FY21'!$F$77</definedName>
    <definedName name="QB_FORMULA_9" localSheetId="6" hidden="1">'2nd Collections FY22'!$J$151,'2nd Collections FY22'!$I$152,'2nd Collections FY22'!$J$152,'2nd Collections FY22'!$I$153,'2nd Collections FY22'!$J$153</definedName>
    <definedName name="QB_FORMULA_9" localSheetId="4" hidden="1">'BS FY22 vs FY21'!$G$77,'BS FY22 vs FY21'!$H$77,'BS FY22 vs FY21'!$E$78,'BS FY22 vs FY21'!$F$78,'BS FY22 vs FY21'!$G$78,'BS FY22 vs FY21'!$H$78,'BS FY22 vs FY21'!$G$80,'BS FY22 vs FY21'!$H$80,'BS FY22 vs FY21'!$G$81,'BS FY22 vs FY21'!$H$81,'BS FY22 vs FY21'!$G$82,'BS FY22 vs FY21'!$H$82,'BS FY22 vs FY21'!$E$83,'BS FY22 vs FY21'!$F$83,'BS FY22 vs FY21'!$G$83,'BS FY22 vs FY21'!$H$83</definedName>
    <definedName name="QB_ROW_1" localSheetId="9" hidden="1">'BS 2016-2017'!$A$2</definedName>
    <definedName name="QB_ROW_1" localSheetId="4" hidden="1">'BS FY22 vs FY21'!$B$3</definedName>
    <definedName name="QB_ROW_1_1" localSheetId="4" hidden="1">'BS FY22 vs FY21'!$A$3</definedName>
    <definedName name="QB_ROW_10031" localSheetId="4" hidden="1">'BS FY22 vs FY21'!$C$38</definedName>
    <definedName name="QB_ROW_10031_1" localSheetId="4" hidden="1">'BS FY22 vs FY21'!$B$36</definedName>
    <definedName name="QB_ROW_1011" localSheetId="9" hidden="1">'BS 2016-2017'!$B$3</definedName>
    <definedName name="QB_ROW_1011" localSheetId="4" hidden="1">'BS FY22 vs FY21'!$B$4</definedName>
    <definedName name="QB_ROW_1011_1" localSheetId="4" hidden="1">'BS FY22 vs FY21'!$A$4</definedName>
    <definedName name="QB_ROW_102030" localSheetId="5" hidden="1">'FY21-FY22 P&amp;L'!#REF!</definedName>
    <definedName name="QB_ROW_102040" localSheetId="5" hidden="1">'FY21-FY22 P&amp;L'!$B$163</definedName>
    <definedName name="QB_ROW_10230" localSheetId="5" hidden="1">'FY21-FY22 P&amp;L'!$B$42</definedName>
    <definedName name="QB_ROW_102330" localSheetId="5" hidden="1">'FY21-FY22 P&amp;L'!#REF!</definedName>
    <definedName name="QB_ROW_102340" localSheetId="5" hidden="1">'FY21-FY22 P&amp;L'!$B$165</definedName>
    <definedName name="QB_ROW_10240" localSheetId="5" hidden="1">'FY21-FY22 P&amp;L'!$B$44</definedName>
    <definedName name="QB_ROW_10331" localSheetId="4" hidden="1">'BS FY22 vs FY21'!$C$45</definedName>
    <definedName name="QB_ROW_10331_1" localSheetId="4" hidden="1">'BS FY22 vs FY21'!$B$43</definedName>
    <definedName name="QB_ROW_105030" localSheetId="5" hidden="1">'FY21-FY22 P&amp;L'!#REF!</definedName>
    <definedName name="QB_ROW_105330" localSheetId="5" hidden="1">'FY21-FY22 P&amp;L'!#REF!</definedName>
    <definedName name="QB_ROW_107030" localSheetId="5" hidden="1">'FY21-FY22 P&amp;L'!#REF!</definedName>
    <definedName name="QB_ROW_107330" localSheetId="5" hidden="1">'FY21-FY22 P&amp;L'!#REF!</definedName>
    <definedName name="QB_ROW_12031" localSheetId="9" hidden="1">'BS 2016-2017'!$D$25</definedName>
    <definedName name="QB_ROW_12031" localSheetId="4" hidden="1">'BS FY22 vs FY21'!$C$46</definedName>
    <definedName name="QB_ROW_12031_1" localSheetId="4" hidden="1">'BS FY22 vs FY21'!$B$44</definedName>
    <definedName name="QB_ROW_1220" localSheetId="9" hidden="1">'BS 2016-2017'!$C$36</definedName>
    <definedName name="QB_ROW_1220" localSheetId="4" hidden="1">'BS FY22 vs FY21'!$A$81</definedName>
    <definedName name="QB_ROW_1220_1" localSheetId="4" hidden="1">'BS FY22 vs FY21'!$A$79</definedName>
    <definedName name="QB_ROW_12330" localSheetId="5" hidden="1">'FY21-FY22 P&amp;L'!$B$43</definedName>
    <definedName name="QB_ROW_12331" localSheetId="9" hidden="1">'BS 2016-2017'!$D$31</definedName>
    <definedName name="QB_ROW_12331" localSheetId="4" hidden="1">'BS FY22 vs FY21'!$A$66</definedName>
    <definedName name="QB_ROW_12331_1" localSheetId="4" hidden="1">'BS FY22 vs FY21'!$B$67</definedName>
    <definedName name="QB_ROW_12340" localSheetId="5" hidden="1">'FY21-FY22 P&amp;L'!$B$45</definedName>
    <definedName name="QB_ROW_127010" localSheetId="6" hidden="1">'2nd Collections FY22'!$A$2</definedName>
    <definedName name="QB_ROW_127020" localSheetId="6" hidden="1">'2nd Collections FY22'!$B$149</definedName>
    <definedName name="QB_ROW_127040" localSheetId="9" hidden="1">'BS 2016-2017'!$E$26</definedName>
    <definedName name="QB_ROW_127040" localSheetId="4" hidden="1">'BS FY22 vs FY21'!$C$55</definedName>
    <definedName name="QB_ROW_127040_1" localSheetId="4" hidden="1">'BS FY22 vs FY21'!$C$53</definedName>
    <definedName name="QB_ROW_127250" localSheetId="4" hidden="1">'BS FY22 vs FY21'!$D$65</definedName>
    <definedName name="QB_ROW_127310" localSheetId="6" hidden="1">'2nd Collections FY22'!$A$152</definedName>
    <definedName name="QB_ROW_127320" localSheetId="6" hidden="1">'2nd Collections FY22'!$B$151</definedName>
    <definedName name="QB_ROW_127340" localSheetId="9" hidden="1">'BS 2016-2017'!$E$30</definedName>
    <definedName name="QB_ROW_127340" localSheetId="4" hidden="1">'BS FY22 vs FY21'!$B$65</definedName>
    <definedName name="QB_ROW_127340_1" localSheetId="4" hidden="1">'BS FY22 vs FY21'!$C$66</definedName>
    <definedName name="QB_ROW_13021" localSheetId="4" hidden="1">'BS FY22 vs FY21'!$A$68</definedName>
    <definedName name="QB_ROW_13021_1" localSheetId="4" hidden="1">'BS FY22 vs FY21'!$A$69</definedName>
    <definedName name="QB_ROW_130320" localSheetId="5" hidden="1">'FY21-FY22 P&amp;L'!$A$160</definedName>
    <definedName name="QB_ROW_1311" localSheetId="9" hidden="1">'BS 2016-2017'!$B$20</definedName>
    <definedName name="QB_ROW_1311" localSheetId="4" hidden="1">'BS FY22 vs FY21'!$C$33</definedName>
    <definedName name="QB_ROW_1311_1" localSheetId="4" hidden="1">'BS FY22 vs FY21'!$A$31</definedName>
    <definedName name="QB_ROW_133030" localSheetId="5" hidden="1">'FY21-FY22 P&amp;L'!$A$167</definedName>
    <definedName name="QB_ROW_13321" localSheetId="4" hidden="1">'BS FY22 vs FY21'!$A$77</definedName>
    <definedName name="QB_ROW_13321_1" localSheetId="4" hidden="1">'BS FY22 vs FY21'!$A$75</definedName>
    <definedName name="QB_ROW_133330" localSheetId="5" hidden="1">'FY21-FY22 P&amp;L'!$A$169</definedName>
    <definedName name="QB_ROW_136030" localSheetId="9" hidden="1">'BS 2016-2017'!$D$13</definedName>
    <definedName name="QB_ROW_136330" localSheetId="9" hidden="1">'BS 2016-2017'!$D$15</definedName>
    <definedName name="QB_ROW_14011" localSheetId="9" hidden="1">'BS 2016-2017'!$B$34</definedName>
    <definedName name="QB_ROW_14011" localSheetId="4" hidden="1">'BS FY22 vs FY21'!$A$79</definedName>
    <definedName name="QB_ROW_14011_1" localSheetId="4" hidden="1">'BS FY22 vs FY21'!$A$77</definedName>
    <definedName name="QB_ROW_14311" localSheetId="9" hidden="1">'BS 2016-2017'!$B$38</definedName>
    <definedName name="QB_ROW_14311" localSheetId="4" hidden="1">'BS FY22 vs FY21'!$A$83</definedName>
    <definedName name="QB_ROW_14311_1" localSheetId="4" hidden="1">'BS FY22 vs FY21'!$A$81</definedName>
    <definedName name="QB_ROW_145230" localSheetId="9" hidden="1">'BS 2016-2017'!$D$18</definedName>
    <definedName name="QB_ROW_145230" localSheetId="4" hidden="1">'BS FY22 vs FY21'!$C$30</definedName>
    <definedName name="QB_ROW_145230_1" localSheetId="4" hidden="1">'BS FY22 vs FY21'!$B$28</definedName>
    <definedName name="QB_ROW_152250" localSheetId="9" hidden="1">'BS 2016-2017'!$F$7</definedName>
    <definedName name="QB_ROW_152250" localSheetId="4" hidden="1">'BS FY22 vs FY21'!$C$8</definedName>
    <definedName name="QB_ROW_152250_1" localSheetId="4" hidden="1">'BS FY22 vs FY21'!$D$8</definedName>
    <definedName name="QB_ROW_159240" localSheetId="5" hidden="1">'FY21-FY22 P&amp;L'!$C$64</definedName>
    <definedName name="QB_ROW_159250" localSheetId="5" hidden="1">'FY21-FY22 P&amp;L'!$C$67</definedName>
    <definedName name="QB_ROW_160220" localSheetId="9" hidden="1">'BS 2016-2017'!$C$35</definedName>
    <definedName name="QB_ROW_160220" localSheetId="4" hidden="1">'BS FY22 vs FY21'!$A$80</definedName>
    <definedName name="QB_ROW_160220_1" localSheetId="4" hidden="1">'BS FY22 vs FY21'!$A$78</definedName>
    <definedName name="QB_ROW_168030" localSheetId="6" hidden="1">'2nd Collections FY22'!$B$95</definedName>
    <definedName name="QB_ROW_168330" localSheetId="6" hidden="1">'2nd Collections FY22'!$B$107</definedName>
    <definedName name="QB_ROW_170250" localSheetId="9" hidden="1">'BS 2016-2017'!$F$8</definedName>
    <definedName name="QB_ROW_170250" localSheetId="4" hidden="1">'BS FY22 vs FY21'!$C$10</definedName>
    <definedName name="QB_ROW_170250_1" localSheetId="4" hidden="1">'BS FY22 vs FY21'!$D$10</definedName>
    <definedName name="QB_ROW_17221" localSheetId="9" hidden="1">'BS 2016-2017'!$C$37</definedName>
    <definedName name="QB_ROW_17221" localSheetId="4" hidden="1">'BS FY22 vs FY21'!$A$82</definedName>
    <definedName name="QB_ROW_17221_1" localSheetId="4" hidden="1">'BS FY22 vs FY21'!$A$80</definedName>
    <definedName name="QB_ROW_173250" localSheetId="9" hidden="1">'BS 2016-2017'!$F$9</definedName>
    <definedName name="QB_ROW_173250" localSheetId="4" hidden="1">'BS FY22 vs FY21'!$C$11</definedName>
    <definedName name="QB_ROW_173250_1" localSheetId="4" hidden="1">'BS FY22 vs FY21'!$D$11</definedName>
    <definedName name="QB_ROW_178240" localSheetId="5" hidden="1">'FY21-FY22 P&amp;L'!$C$123</definedName>
    <definedName name="QB_ROW_178250" localSheetId="5" hidden="1">'FY21-FY22 P&amp;L'!$C$126</definedName>
    <definedName name="QB_ROW_179240" localSheetId="5" hidden="1">'FY21-FY22 P&amp;L'!$C$124</definedName>
    <definedName name="QB_ROW_179250" localSheetId="5" hidden="1">'FY21-FY22 P&amp;L'!$C$127</definedName>
    <definedName name="QB_ROW_180240" localSheetId="5" hidden="1">'FY21-FY22 P&amp;L'!$C$125</definedName>
    <definedName name="QB_ROW_180250" localSheetId="5" hidden="1">'FY21-FY22 P&amp;L'!$C$128</definedName>
    <definedName name="QB_ROW_181240" localSheetId="5" hidden="1">'FY21-FY22 P&amp;L'!$C$129</definedName>
    <definedName name="QB_ROW_181250" localSheetId="5" hidden="1">'FY21-FY22 P&amp;L'!$C$132</definedName>
    <definedName name="QB_ROW_182240" localSheetId="5" hidden="1">'FY21-FY22 P&amp;L'!$C$130</definedName>
    <definedName name="QB_ROW_182250" localSheetId="5" hidden="1">'FY21-FY22 P&amp;L'!$C$133</definedName>
    <definedName name="QB_ROW_18301" localSheetId="5" hidden="1">'FY21-FY22 P&amp;L'!$A$162</definedName>
    <definedName name="QB_ROW_18301_1" localSheetId="5" hidden="1">'FY21-FY22 P&amp;L'!$A$171</definedName>
    <definedName name="QB_ROW_183240" localSheetId="5" hidden="1">'FY21-FY22 P&amp;L'!$C$131</definedName>
    <definedName name="QB_ROW_183250" localSheetId="5" hidden="1">'FY21-FY22 P&amp;L'!$C$134</definedName>
    <definedName name="QB_ROW_184240" localSheetId="5" hidden="1">'FY21-FY22 P&amp;L'!$C$126</definedName>
    <definedName name="QB_ROW_184250" localSheetId="5" hidden="1">'FY21-FY22 P&amp;L'!$C$129</definedName>
    <definedName name="QB_ROW_185240" localSheetId="5" hidden="1">'FY21-FY22 P&amp;L'!$C$136</definedName>
    <definedName name="QB_ROW_185250" localSheetId="5" hidden="1">'FY21-FY22 P&amp;L'!$C$139</definedName>
    <definedName name="QB_ROW_186250" localSheetId="5" hidden="1">'FY21-FY22 P&amp;L'!$C$140</definedName>
    <definedName name="QB_ROW_187240" localSheetId="5" hidden="1">'FY21-FY22 P&amp;L'!$C$140</definedName>
    <definedName name="QB_ROW_187250" localSheetId="5" hidden="1">'FY21-FY22 P&amp;L'!$C$143</definedName>
    <definedName name="QB_ROW_188240" localSheetId="5" hidden="1">'FY21-FY22 P&amp;L'!$C$141</definedName>
    <definedName name="QB_ROW_188250" localSheetId="5" hidden="1">'FY21-FY22 P&amp;L'!$C$144</definedName>
    <definedName name="QB_ROW_189240" localSheetId="5" hidden="1">'FY21-FY22 P&amp;L'!$C$144</definedName>
    <definedName name="QB_ROW_189250" localSheetId="5" hidden="1">'FY21-FY22 P&amp;L'!$C$147</definedName>
    <definedName name="QB_ROW_190240" localSheetId="5" hidden="1">'FY21-FY22 P&amp;L'!$C$145</definedName>
    <definedName name="QB_ROW_190250" localSheetId="5" hidden="1">'FY21-FY22 P&amp;L'!$C$148</definedName>
    <definedName name="QB_ROW_193240" localSheetId="5" hidden="1">'FY21-FY22 P&amp;L'!$C$148</definedName>
    <definedName name="QB_ROW_193250" localSheetId="5" hidden="1">'FY21-FY22 P&amp;L'!$C$151</definedName>
    <definedName name="QB_ROW_194240" localSheetId="5" hidden="1">'FY21-FY22 P&amp;L'!$C$149</definedName>
    <definedName name="QB_ROW_194250" localSheetId="5" hidden="1">'FY21-FY22 P&amp;L'!$C$152</definedName>
    <definedName name="QB_ROW_195240" localSheetId="5" hidden="1">'FY21-FY22 P&amp;L'!$C$150</definedName>
    <definedName name="QB_ROW_195250" localSheetId="5" hidden="1">'FY21-FY22 P&amp;L'!$C$153</definedName>
    <definedName name="QB_ROW_197240" localSheetId="5" hidden="1">'FY21-FY22 P&amp;L'!$C$153</definedName>
    <definedName name="QB_ROW_197250" localSheetId="5" hidden="1">'FY21-FY22 P&amp;L'!$C$156</definedName>
    <definedName name="QB_ROW_20012" localSheetId="5" hidden="1">'FY21-FY22 P&amp;L'!$A$3</definedName>
    <definedName name="QB_ROW_20022" localSheetId="5" hidden="1">'FY21-FY22 P&amp;L'!$A$3</definedName>
    <definedName name="QB_ROW_200240" localSheetId="5" hidden="1">'FY21-FY22 P&amp;L'!$C$154</definedName>
    <definedName name="QB_ROW_200250" localSheetId="5" hidden="1">'FY21-FY22 P&amp;L'!$C$157</definedName>
    <definedName name="QB_ROW_2021" localSheetId="9" hidden="1">'BS 2016-2017'!$C$4</definedName>
    <definedName name="QB_ROW_2021" localSheetId="4" hidden="1">'BS FY22 vs FY21'!$B$5</definedName>
    <definedName name="QB_ROW_2021_1" localSheetId="4" hidden="1">'BS FY22 vs FY21'!$A$5</definedName>
    <definedName name="QB_ROW_20312" localSheetId="5" hidden="1">'FY21-FY22 P&amp;L'!$A$47</definedName>
    <definedName name="QB_ROW_20322" localSheetId="5" hidden="1">'FY21-FY22 P&amp;L'!$A$49</definedName>
    <definedName name="QB_ROW_203240" localSheetId="5" hidden="1">'FY21-FY22 P&amp;L'!#REF!</definedName>
    <definedName name="QB_ROW_21012" localSheetId="5" hidden="1">'FY21-FY22 P&amp;L'!$A$48</definedName>
    <definedName name="QB_ROW_21022" localSheetId="5" hidden="1">'FY21-FY22 P&amp;L'!$A$51</definedName>
    <definedName name="QB_ROW_21312" localSheetId="5" hidden="1">'FY21-FY22 P&amp;L'!$A$161</definedName>
    <definedName name="QB_ROW_21322" localSheetId="5" hidden="1">'FY21-FY22 P&amp;L'!$A$170</definedName>
    <definedName name="QB_ROW_214240" localSheetId="5" hidden="1">'FY21-FY22 P&amp;L'!#REF!</definedName>
    <definedName name="QB_ROW_214250" localSheetId="5" hidden="1">'FY21-FY22 P&amp;L'!$C$164</definedName>
    <definedName name="QB_ROW_230340" localSheetId="5" hidden="1">'FY21-FY22 P&amp;L'!#REF!</definedName>
    <definedName name="QB_ROW_2321" localSheetId="9" hidden="1">'BS 2016-2017'!$C$16</definedName>
    <definedName name="QB_ROW_2321" localSheetId="4" hidden="1">'BS FY22 vs FY21'!$C$25</definedName>
    <definedName name="QB_ROW_2321_1" localSheetId="4" hidden="1">'BS FY22 vs FY21'!$A$26</definedName>
    <definedName name="QB_ROW_233240" localSheetId="5" hidden="1">'FY21-FY22 P&amp;L'!#REF!</definedName>
    <definedName name="QB_ROW_234240" localSheetId="5" hidden="1">'FY21-FY22 P&amp;L'!#REF!</definedName>
    <definedName name="QB_ROW_235240" localSheetId="5" hidden="1">'FY21-FY22 P&amp;L'!#REF!</definedName>
    <definedName name="QB_ROW_241240" localSheetId="5" hidden="1">'FY21-FY22 P&amp;L'!$C$78</definedName>
    <definedName name="QB_ROW_241250" localSheetId="5" hidden="1">'FY21-FY22 P&amp;L'!$C$81</definedName>
    <definedName name="QB_ROW_242340" localSheetId="5" hidden="1">'FY21-FY22 P&amp;L'!$C$84</definedName>
    <definedName name="QB_ROW_242350" localSheetId="5" hidden="1">'FY21-FY22 P&amp;L'!$C$87</definedName>
    <definedName name="QB_ROW_243240" localSheetId="5" hidden="1">'FY21-FY22 P&amp;L'!$C$85</definedName>
    <definedName name="QB_ROW_243250" localSheetId="5" hidden="1">'FY21-FY22 P&amp;L'!$C$88</definedName>
    <definedName name="QB_ROW_244240" localSheetId="5" hidden="1">'FY21-FY22 P&amp;L'!$C$86</definedName>
    <definedName name="QB_ROW_244250" localSheetId="5" hidden="1">'FY21-FY22 P&amp;L'!$C$89</definedName>
    <definedName name="QB_ROW_245240" localSheetId="5" hidden="1">'FY21-FY22 P&amp;L'!$C$87</definedName>
    <definedName name="QB_ROW_245250" localSheetId="5" hidden="1">'FY21-FY22 P&amp;L'!$C$90</definedName>
    <definedName name="QB_ROW_246240" localSheetId="5" hidden="1">'FY21-FY22 P&amp;L'!$C$88</definedName>
    <definedName name="QB_ROW_246250" localSheetId="5" hidden="1">'FY21-FY22 P&amp;L'!$C$91</definedName>
    <definedName name="QB_ROW_247240" localSheetId="5" hidden="1">'FY21-FY22 P&amp;L'!$C$89</definedName>
    <definedName name="QB_ROW_248240" localSheetId="5" hidden="1">'FY21-FY22 P&amp;L'!$C$114</definedName>
    <definedName name="QB_ROW_248250" localSheetId="5" hidden="1">'FY21-FY22 P&amp;L'!$C$118</definedName>
    <definedName name="QB_ROW_250240" localSheetId="5" hidden="1">'FY21-FY22 P&amp;L'!$C$115</definedName>
    <definedName name="QB_ROW_251240" localSheetId="5" hidden="1">'FY21-FY22 P&amp;L'!$C$116</definedName>
    <definedName name="QB_ROW_251250" localSheetId="5" hidden="1">'FY21-FY22 P&amp;L'!$C$119</definedName>
    <definedName name="QB_ROW_252240" localSheetId="5" hidden="1">'FY21-FY22 P&amp;L'!$C$117</definedName>
    <definedName name="QB_ROW_252250" localSheetId="5" hidden="1">'FY21-FY22 P&amp;L'!$C$120</definedName>
    <definedName name="QB_ROW_25301" localSheetId="6" hidden="1">'2nd Collections FY22'!$A$153</definedName>
    <definedName name="QB_ROW_253240" localSheetId="5" hidden="1">'FY21-FY22 P&amp;L'!$C$106</definedName>
    <definedName name="QB_ROW_253250" localSheetId="5" hidden="1">'FY21-FY22 P&amp;L'!$C$109</definedName>
    <definedName name="QB_ROW_254240" localSheetId="5" hidden="1">'FY21-FY22 P&amp;L'!$C$107</definedName>
    <definedName name="QB_ROW_254250" localSheetId="5" hidden="1">'FY21-FY22 P&amp;L'!$C$110</definedName>
    <definedName name="QB_ROW_255240" localSheetId="5" hidden="1">'FY21-FY22 P&amp;L'!$C$108</definedName>
    <definedName name="QB_ROW_255250" localSheetId="5" hidden="1">'FY21-FY22 P&amp;L'!$C$111</definedName>
    <definedName name="QB_ROW_256240" localSheetId="5" hidden="1">'FY21-FY22 P&amp;L'!$C$109</definedName>
    <definedName name="QB_ROW_256250" localSheetId="5" hidden="1">'FY21-FY22 P&amp;L'!$C$112</definedName>
    <definedName name="QB_ROW_257240" localSheetId="5" hidden="1">'FY21-FY22 P&amp;L'!$C$110</definedName>
    <definedName name="QB_ROW_257250" localSheetId="5" hidden="1">'FY21-FY22 P&amp;L'!$C$113</definedName>
    <definedName name="QB_ROW_258240" localSheetId="5" hidden="1">'FY21-FY22 P&amp;L'!$C$111</definedName>
    <definedName name="QB_ROW_258250" localSheetId="5" hidden="1">'FY21-FY22 P&amp;L'!$C$114</definedName>
    <definedName name="QB_ROW_259240" localSheetId="5" hidden="1">'FY21-FY22 P&amp;L'!$C$100</definedName>
    <definedName name="QB_ROW_259250" localSheetId="5" hidden="1">'FY21-FY22 P&amp;L'!$C$103</definedName>
    <definedName name="QB_ROW_260240" localSheetId="5" hidden="1">'FY21-FY22 P&amp;L'!$C$101</definedName>
    <definedName name="QB_ROW_260250" localSheetId="5" hidden="1">'FY21-FY22 P&amp;L'!$C$104</definedName>
    <definedName name="QB_ROW_261240" localSheetId="5" hidden="1">'FY21-FY22 P&amp;L'!$C$102</definedName>
    <definedName name="QB_ROW_261250" localSheetId="5" hidden="1">'FY21-FY22 P&amp;L'!$C$105</definedName>
    <definedName name="QB_ROW_262240" localSheetId="5" hidden="1">'FY21-FY22 P&amp;L'!$C$55</definedName>
    <definedName name="QB_ROW_262250" localSheetId="5" hidden="1">'FY21-FY22 P&amp;L'!$C$58</definedName>
    <definedName name="QB_ROW_263240" localSheetId="5" hidden="1">'FY21-FY22 P&amp;L'!$C$56</definedName>
    <definedName name="QB_ROW_263250" localSheetId="5" hidden="1">'FY21-FY22 P&amp;L'!$C$59</definedName>
    <definedName name="QB_ROW_269240" localSheetId="5" hidden="1">'FY21-FY22 P&amp;L'!$C$6</definedName>
    <definedName name="QB_ROW_269250" localSheetId="5" hidden="1">'FY21-FY22 P&amp;L'!$C$6</definedName>
    <definedName name="QB_ROW_270340" localSheetId="5" hidden="1">'FY21-FY22 P&amp;L'!$C$91</definedName>
    <definedName name="QB_ROW_270350" localSheetId="5" hidden="1">'FY21-FY22 P&amp;L'!$C$93</definedName>
    <definedName name="QB_ROW_271240" localSheetId="5" hidden="1">'FY21-FY22 P&amp;L'!$C$31</definedName>
    <definedName name="QB_ROW_271250" localSheetId="5" hidden="1">'FY21-FY22 P&amp;L'!$C$33</definedName>
    <definedName name="QB_ROW_273240" localSheetId="5" hidden="1">'FY21-FY22 P&amp;L'!$C$10</definedName>
    <definedName name="QB_ROW_273250" localSheetId="5" hidden="1">'FY21-FY22 P&amp;L'!$C$10</definedName>
    <definedName name="QB_ROW_275020" localSheetId="6" hidden="1">'2nd Collections FY22'!$B$26</definedName>
    <definedName name="QB_ROW_275320" localSheetId="6" hidden="1">'2nd Collections FY22'!$B$34</definedName>
    <definedName name="QB_ROW_275350" localSheetId="4" hidden="1">'BS FY22 vs FY21'!$C$58</definedName>
    <definedName name="QB_ROW_275350_1" localSheetId="4" hidden="1">'BS FY22 vs FY21'!$D$56</definedName>
    <definedName name="QB_ROW_276240" localSheetId="5" hidden="1">'FY21-FY22 P&amp;L'!$C$17</definedName>
    <definedName name="QB_ROW_276250" localSheetId="5" hidden="1">'FY21-FY22 P&amp;L'!$C$18</definedName>
    <definedName name="QB_ROW_279240" localSheetId="5" hidden="1">'FY21-FY22 P&amp;L'!$C$18</definedName>
    <definedName name="QB_ROW_279250" localSheetId="5" hidden="1">'FY21-FY22 P&amp;L'!$C$19</definedName>
    <definedName name="QB_ROW_280240" localSheetId="5" hidden="1">'FY21-FY22 P&amp;L'!$C$11</definedName>
    <definedName name="QB_ROW_280250" localSheetId="5" hidden="1">'FY21-FY22 P&amp;L'!$C$11</definedName>
    <definedName name="QB_ROW_285240" localSheetId="5" hidden="1">'FY21-FY22 P&amp;L'!$C$28</definedName>
    <definedName name="QB_ROW_285250" localSheetId="5" hidden="1">'FY21-FY22 P&amp;L'!$C$30</definedName>
    <definedName name="QB_ROW_286240" localSheetId="5" hidden="1">'FY21-FY22 P&amp;L'!$C$12</definedName>
    <definedName name="QB_ROW_286250" localSheetId="5" hidden="1">'FY21-FY22 P&amp;L'!$C$12</definedName>
    <definedName name="QB_ROW_287240" localSheetId="5" hidden="1">'FY21-FY22 P&amp;L'!$C$19</definedName>
    <definedName name="QB_ROW_287250" localSheetId="5" hidden="1">'FY21-FY22 P&amp;L'!$C$20</definedName>
    <definedName name="QB_ROW_29220" localSheetId="5" hidden="1">'FY21-FY22 P&amp;L'!$A$45</definedName>
    <definedName name="QB_ROW_292250" localSheetId="5" hidden="1">'FY21-FY22 P&amp;L'!$C$15</definedName>
    <definedName name="QB_ROW_29230" localSheetId="5" hidden="1">'FY21-FY22 P&amp;L'!$A$47</definedName>
    <definedName name="QB_ROW_293240" localSheetId="5" hidden="1">'FY21-FY22 P&amp;L'!$C$13</definedName>
    <definedName name="QB_ROW_293250" localSheetId="5" hidden="1">'FY21-FY22 P&amp;L'!$C$13</definedName>
    <definedName name="QB_ROW_297240" localSheetId="5" hidden="1">'FY21-FY22 P&amp;L'!$C$118</definedName>
    <definedName name="QB_ROW_297250" localSheetId="5" hidden="1">'FY21-FY22 P&amp;L'!$C$121</definedName>
    <definedName name="QB_ROW_301" localSheetId="9" hidden="1">'BS 2016-2017'!$A$21</definedName>
    <definedName name="QB_ROW_301" localSheetId="4" hidden="1">'BS FY22 vs FY21'!$C$34</definedName>
    <definedName name="QB_ROW_301_1" localSheetId="4" hidden="1">'BS FY22 vs FY21'!$A$32</definedName>
    <definedName name="QB_ROW_3021" localSheetId="4" hidden="1">'BS FY22 vs FY21'!$C$26</definedName>
    <definedName name="QB_ROW_3321" localSheetId="4" hidden="1">'BS FY22 vs FY21'!$C$28</definedName>
    <definedName name="QB_ROW_357240" localSheetId="5" hidden="1">'FY21-FY22 P&amp;L'!$C$36</definedName>
    <definedName name="QB_ROW_358240" localSheetId="5" hidden="1">'FY21-FY22 P&amp;L'!$C$37</definedName>
    <definedName name="QB_ROW_358250" localSheetId="5" hidden="1">'FY21-FY22 P&amp;L'!$C$39</definedName>
    <definedName name="QB_ROW_36020" localSheetId="6" hidden="1">'2nd Collections FY22'!$B$3</definedName>
    <definedName name="QB_ROW_36250" localSheetId="9" hidden="1">'BS 2016-2017'!$F$27</definedName>
    <definedName name="QB_ROW_36250" localSheetId="4" hidden="1">'BS FY22 vs FY21'!$C$56</definedName>
    <definedName name="QB_ROW_36250_1" localSheetId="4" hidden="1">'BS FY22 vs FY21'!$D$54</definedName>
    <definedName name="QB_ROW_36320" localSheetId="6" hidden="1">'2nd Collections FY22'!$B$13</definedName>
    <definedName name="QB_ROW_374250" localSheetId="9" hidden="1">'BS 2016-2017'!$F$10</definedName>
    <definedName name="QB_ROW_374250" localSheetId="4" hidden="1">'BS FY22 vs FY21'!$C$12</definedName>
    <definedName name="QB_ROW_374250_1" localSheetId="4" hidden="1">'BS FY22 vs FY21'!$D$12</definedName>
    <definedName name="QB_ROW_38020" localSheetId="6" hidden="1">'2nd Collections FY22'!$B$14</definedName>
    <definedName name="QB_ROW_381240" localSheetId="5" hidden="1">'FY21-FY22 P&amp;L'!$C$14</definedName>
    <definedName name="QB_ROW_381250" localSheetId="5" hidden="1">'FY21-FY22 P&amp;L'!$C$14</definedName>
    <definedName name="QB_ROW_38250" localSheetId="9" hidden="1">'BS 2016-2017'!$F$28</definedName>
    <definedName name="QB_ROW_38250" localSheetId="4" hidden="1">'BS FY22 vs FY21'!$C$57</definedName>
    <definedName name="QB_ROW_38250_1" localSheetId="4" hidden="1">'BS FY22 vs FY21'!$D$55</definedName>
    <definedName name="QB_ROW_38320" localSheetId="6" hidden="1">'2nd Collections FY22'!$B$25</definedName>
    <definedName name="QB_ROW_383240" localSheetId="9" hidden="1">'BS 2016-2017'!$E$14</definedName>
    <definedName name="QB_ROW_383270" localSheetId="4" hidden="1">'BS FY22 vs FY21'!$D$20</definedName>
    <definedName name="QB_ROW_387240" localSheetId="5" hidden="1">'FY21-FY22 P&amp;L'!$C$90</definedName>
    <definedName name="QB_ROW_387250" localSheetId="5" hidden="1">'FY21-FY22 P&amp;L'!$C$92</definedName>
    <definedName name="QB_ROW_388240" localSheetId="5" hidden="1">'FY21-FY22 P&amp;L'!$C$26</definedName>
    <definedName name="QB_ROW_388250" localSheetId="5" hidden="1">'FY21-FY22 P&amp;L'!$C$26</definedName>
    <definedName name="QB_ROW_39020" localSheetId="6" hidden="1">'2nd Collections FY22'!$B$35</definedName>
    <definedName name="QB_ROW_39250" localSheetId="4" hidden="1">'BS FY22 vs FY21'!$C$59</definedName>
    <definedName name="QB_ROW_39250_1" localSheetId="4" hidden="1">'BS FY22 vs FY21'!$D$57</definedName>
    <definedName name="QB_ROW_39320" localSheetId="6" hidden="1">'2nd Collections FY22'!$B$47</definedName>
    <definedName name="QB_ROW_395240" localSheetId="5" hidden="1">'FY21-FY22 P&amp;L'!$C$29</definedName>
    <definedName name="QB_ROW_395250" localSheetId="5" hidden="1">'FY21-FY22 P&amp;L'!$C$31</definedName>
    <definedName name="QB_ROW_40020" localSheetId="6" hidden="1">'2nd Collections FY22'!$B$48</definedName>
    <definedName name="QB_ROW_400240" localSheetId="5" hidden="1">'FY21-FY22 P&amp;L'!$C$38</definedName>
    <definedName name="QB_ROW_400250" localSheetId="5" hidden="1">'FY21-FY22 P&amp;L'!$C$40</definedName>
    <definedName name="QB_ROW_401240" localSheetId="5" hidden="1">'FY21-FY22 P&amp;L'!$C$39</definedName>
    <definedName name="QB_ROW_401250" localSheetId="5" hidden="1">'FY21-FY22 P&amp;L'!$C$41</definedName>
    <definedName name="QB_ROW_4021" localSheetId="9" hidden="1">'BS 2016-2017'!$C$17</definedName>
    <definedName name="QB_ROW_4021" localSheetId="4" hidden="1">'BS FY22 vs FY21'!$C$29</definedName>
    <definedName name="QB_ROW_4021_1" localSheetId="4" hidden="1">'BS FY22 vs FY21'!$A$27</definedName>
    <definedName name="QB_ROW_40250" localSheetId="4" hidden="1">'BS FY22 vs FY21'!$C$60</definedName>
    <definedName name="QB_ROW_40250_1" localSheetId="4" hidden="1">'BS FY22 vs FY21'!$D$58</definedName>
    <definedName name="QB_ROW_4030" localSheetId="5" hidden="1">'FY21-FY22 P&amp;L'!$B$5</definedName>
    <definedName name="QB_ROW_40320" localSheetId="6" hidden="1">'2nd Collections FY22'!$B$60</definedName>
    <definedName name="QB_ROW_403240" localSheetId="5" hidden="1">'FY21-FY22 P&amp;L'!$C$30</definedName>
    <definedName name="QB_ROW_403250" localSheetId="5" hidden="1">'FY21-FY22 P&amp;L'!$C$32</definedName>
    <definedName name="QB_ROW_4040" localSheetId="5" hidden="1">'FY21-FY22 P&amp;L'!$B$5</definedName>
    <definedName name="QB_ROW_404240" localSheetId="5" hidden="1">'FY21-FY22 P&amp;L'!$C$22</definedName>
    <definedName name="QB_ROW_409030" localSheetId="9" hidden="1">'BS 2016-2017'!$D$5</definedName>
    <definedName name="QB_ROW_409030" localSheetId="4" hidden="1">'BS FY22 vs FY21'!$B$6</definedName>
    <definedName name="QB_ROW_409330" localSheetId="9" hidden="1">'BS 2016-2017'!$D$12</definedName>
    <definedName name="QB_ROW_409330" localSheetId="4" hidden="1">'BS FY22 vs FY21'!$C$24</definedName>
    <definedName name="QB_ROW_409330_1" localSheetId="4" hidden="1">'BS FY22 vs FY21'!$B$25</definedName>
    <definedName name="QB_ROW_41020" localSheetId="6" hidden="1">'2nd Collections FY22'!$B$61</definedName>
    <definedName name="QB_ROW_411040" localSheetId="9" hidden="1">'BS 2016-2017'!$E$6</definedName>
    <definedName name="QB_ROW_411040" localSheetId="4" hidden="1">'BS FY22 vs FY21'!$B$7</definedName>
    <definedName name="QB_ROW_411040_1" localSheetId="4" hidden="1">'BS FY22 vs FY21'!$C$7</definedName>
    <definedName name="QB_ROW_411340" localSheetId="9" hidden="1">'BS 2016-2017'!$E$11</definedName>
    <definedName name="QB_ROW_411340" localSheetId="4" hidden="1">'BS FY22 vs FY21'!$B$13</definedName>
    <definedName name="QB_ROW_411340_1" localSheetId="4" hidden="1">'BS FY22 vs FY21'!$C$13</definedName>
    <definedName name="QB_ROW_41320" localSheetId="6" hidden="1">'2nd Collections FY22'!$B$71</definedName>
    <definedName name="QB_ROW_418040" localSheetId="4" hidden="1">'BS FY22 vs FY21'!$B$17</definedName>
    <definedName name="QB_ROW_418040_1" localSheetId="4" hidden="1">'BS FY22 vs FY21'!$C$17</definedName>
    <definedName name="QB_ROW_418340" localSheetId="4" hidden="1">'BS FY22 vs FY21'!$C$23</definedName>
    <definedName name="QB_ROW_418340_1" localSheetId="4" hidden="1">'BS FY22 vs FY21'!$C$24</definedName>
    <definedName name="QB_ROW_42020" localSheetId="6" hidden="1">'2nd Collections FY22'!$B$72</definedName>
    <definedName name="QB_ROW_421050" localSheetId="4" hidden="1">'BS FY22 vs FY21'!$C$18</definedName>
    <definedName name="QB_ROW_421050_1" localSheetId="4" hidden="1">'BS FY22 vs FY21'!$D$18</definedName>
    <definedName name="QB_ROW_421350" localSheetId="4" hidden="1">'BS FY22 vs FY21'!$C$22</definedName>
    <definedName name="QB_ROW_421350_1" localSheetId="4" hidden="1">'BS FY22 vs FY21'!$D$23</definedName>
    <definedName name="QB_ROW_42250" localSheetId="4" hidden="1">'BS FY22 vs FY21'!$D$59</definedName>
    <definedName name="QB_ROW_423060" localSheetId="4" hidden="1">'BS FY22 vs FY21'!$D$19</definedName>
    <definedName name="QB_ROW_42320" localSheetId="6" hidden="1">'2nd Collections FY22'!$B$74</definedName>
    <definedName name="QB_ROW_423270" localSheetId="4" hidden="1">'BS FY22 vs FY21'!$D$21</definedName>
    <definedName name="QB_ROW_423360" localSheetId="4" hidden="1">'BS FY22 vs FY21'!$D$21</definedName>
    <definedName name="QB_ROW_423360_1" localSheetId="4" hidden="1">'BS FY22 vs FY21'!$D$22</definedName>
    <definedName name="QB_ROW_4240" localSheetId="5" hidden="1">'FY21-FY22 P&amp;L'!$C$7</definedName>
    <definedName name="QB_ROW_4250" localSheetId="5" hidden="1">'FY21-FY22 P&amp;L'!$C$7</definedName>
    <definedName name="QB_ROW_429330" localSheetId="4" hidden="1">'BS FY22 vs FY21'!$C$27</definedName>
    <definedName name="QB_ROW_43020" localSheetId="6" hidden="1">'2nd Collections FY22'!$B$75</definedName>
    <definedName name="QB_ROW_4321" localSheetId="9" hidden="1">'BS 2016-2017'!$C$19</definedName>
    <definedName name="QB_ROW_4321" localSheetId="4" hidden="1">'BS FY22 vs FY21'!$C$32</definedName>
    <definedName name="QB_ROW_4321_1" localSheetId="4" hidden="1">'BS FY22 vs FY21'!$A$30</definedName>
    <definedName name="QB_ROW_43250" localSheetId="4" hidden="1">'BS FY22 vs FY21'!$D$60</definedName>
    <definedName name="QB_ROW_4330" localSheetId="5" hidden="1">'FY21-FY22 P&amp;L'!$B$8</definedName>
    <definedName name="QB_ROW_43320" localSheetId="6" hidden="1">'2nd Collections FY22'!$B$82</definedName>
    <definedName name="QB_ROW_4340" localSheetId="5" hidden="1">'FY21-FY22 P&amp;L'!$B$8</definedName>
    <definedName name="QB_ROW_434230" localSheetId="4" hidden="1">'BS FY22 vs FY21'!$C$31</definedName>
    <definedName name="QB_ROW_434230_1" localSheetId="4" hidden="1">'BS FY22 vs FY21'!$B$29</definedName>
    <definedName name="QB_ROW_435040" localSheetId="4" hidden="1">'BS FY22 vs FY21'!$C$39</definedName>
    <definedName name="QB_ROW_435040_1" localSheetId="4" hidden="1">'BS FY22 vs FY21'!$C$37</definedName>
    <definedName name="QB_ROW_435250" localSheetId="4" hidden="1">'BS FY22 vs FY21'!$C$43</definedName>
    <definedName name="QB_ROW_435250_1" localSheetId="4" hidden="1">'BS FY22 vs FY21'!$D$41</definedName>
    <definedName name="QB_ROW_435340" localSheetId="4" hidden="1">'BS FY22 vs FY21'!$C$44</definedName>
    <definedName name="QB_ROW_435340_1" localSheetId="4" hidden="1">'BS FY22 vs FY21'!$C$42</definedName>
    <definedName name="QB_ROW_436050" localSheetId="4" hidden="1">'BS FY22 vs FY21'!$C$40</definedName>
    <definedName name="QB_ROW_436050_1" localSheetId="4" hidden="1">'BS FY22 vs FY21'!$D$38</definedName>
    <definedName name="QB_ROW_436350" localSheetId="4" hidden="1">'BS FY22 vs FY21'!$C$42</definedName>
    <definedName name="QB_ROW_436350_1" localSheetId="4" hidden="1">'BS FY22 vs FY21'!$D$40</definedName>
    <definedName name="QB_ROW_439240" localSheetId="4" hidden="1">'BS FY22 vs FY21'!$C$47</definedName>
    <definedName name="QB_ROW_439240_1" localSheetId="4" hidden="1">'BS FY22 vs FY21'!$C$45</definedName>
    <definedName name="QB_ROW_440040" localSheetId="4" hidden="1">'BS FY22 vs FY21'!$C$48</definedName>
    <definedName name="QB_ROW_440040_1" localSheetId="4" hidden="1">'BS FY22 vs FY21'!$C$46</definedName>
    <definedName name="QB_ROW_44020" localSheetId="6" hidden="1">'2nd Collections FY22'!$B$83</definedName>
    <definedName name="QB_ROW_440250" localSheetId="4" hidden="1">'BS FY22 vs FY21'!$C$50</definedName>
    <definedName name="QB_ROW_440250_1" localSheetId="4" hidden="1">'BS FY22 vs FY21'!$D$48</definedName>
    <definedName name="QB_ROW_440340" localSheetId="4" hidden="1">'BS FY22 vs FY21'!$C$51</definedName>
    <definedName name="QB_ROW_440340_1" localSheetId="4" hidden="1">'BS FY22 vs FY21'!$C$49</definedName>
    <definedName name="QB_ROW_44250" localSheetId="4" hidden="1">'BS FY22 vs FY21'!$C$61</definedName>
    <definedName name="QB_ROW_44250_1" localSheetId="4" hidden="1">'BS FY22 vs FY21'!$D$61</definedName>
    <definedName name="QB_ROW_44320" localSheetId="6" hidden="1">'2nd Collections FY22'!$B$93</definedName>
    <definedName name="QB_ROW_45020" localSheetId="6" hidden="1">'2nd Collections FY22'!$B$120</definedName>
    <definedName name="QB_ROW_45250" localSheetId="4" hidden="1">'BS FY22 vs FY21'!$C$62</definedName>
    <definedName name="QB_ROW_45250_1" localSheetId="4" hidden="1">'BS FY22 vs FY21'!$D$63</definedName>
    <definedName name="QB_ROW_45320" localSheetId="6" hidden="1">'2nd Collections FY22'!$B$124</definedName>
    <definedName name="QB_ROW_460030" localSheetId="4" hidden="1">'BS FY22 vs FY21'!$A$69</definedName>
    <definedName name="QB_ROW_460030_1" localSheetId="4" hidden="1">'BS FY22 vs FY21'!$B$70</definedName>
    <definedName name="QB_ROW_46020" localSheetId="6" hidden="1">'2nd Collections FY22'!$B$125</definedName>
    <definedName name="QB_ROW_460330" localSheetId="4" hidden="1">'BS FY22 vs FY21'!$A$76</definedName>
    <definedName name="QB_ROW_460330_1" localSheetId="4" hidden="1">'BS FY22 vs FY21'!$B$74</definedName>
    <definedName name="QB_ROW_461040" localSheetId="4" hidden="1">'BS FY22 vs FY21'!$B$70</definedName>
    <definedName name="QB_ROW_461040_1" localSheetId="4" hidden="1">'BS FY22 vs FY21'!$C$71</definedName>
    <definedName name="QB_ROW_461340" localSheetId="4" hidden="1">'BS FY22 vs FY21'!$B$72</definedName>
    <definedName name="QB_ROW_461340_1" localSheetId="4" hidden="1">'BS FY22 vs FY21'!$C$73</definedName>
    <definedName name="QB_ROW_462040" localSheetId="4" hidden="1">'BS FY22 vs FY21'!$B$73</definedName>
    <definedName name="QB_ROW_462340" localSheetId="4" hidden="1">'BS FY22 vs FY21'!$B$75</definedName>
    <definedName name="QB_ROW_46250" localSheetId="4" hidden="1">'BS FY22 vs FY21'!$C$63</definedName>
    <definedName name="QB_ROW_46250_1" localSheetId="4" hidden="1">'BS FY22 vs FY21'!$D$64</definedName>
    <definedName name="QB_ROW_463020" localSheetId="5" hidden="1">'FY21-FY22 P&amp;L'!$A$4</definedName>
    <definedName name="QB_ROW_463030" localSheetId="5" hidden="1">'FY21-FY22 P&amp;L'!$A$4</definedName>
    <definedName name="QB_ROW_46320" localSheetId="6" hidden="1">'2nd Collections FY22'!$B$133</definedName>
    <definedName name="QB_ROW_463320" localSheetId="5" hidden="1">'FY21-FY22 P&amp;L'!$A$44</definedName>
    <definedName name="QB_ROW_463330" localSheetId="5" hidden="1">'FY21-FY22 P&amp;L'!$A$46</definedName>
    <definedName name="QB_ROW_47020" localSheetId="6" hidden="1">'2nd Collections FY22'!$B$134</definedName>
    <definedName name="QB_ROW_47250" localSheetId="9" hidden="1">'BS 2016-2017'!$F$29</definedName>
    <definedName name="QB_ROW_47320" localSheetId="6" hidden="1">'2nd Collections FY22'!$B$148</definedName>
    <definedName name="QB_ROW_47350" localSheetId="4" hidden="1">'BS FY22 vs FY21'!$C$64</definedName>
    <definedName name="QB_ROW_5030" localSheetId="5" hidden="1">'FY21-FY22 P&amp;L'!$B$9</definedName>
    <definedName name="QB_ROW_5040" localSheetId="5" hidden="1">'FY21-FY22 P&amp;L'!$B$9</definedName>
    <definedName name="QB_ROW_518020" localSheetId="5" hidden="1">'FY21-FY22 P&amp;L'!$A$49</definedName>
    <definedName name="QB_ROW_518030" localSheetId="5" hidden="1">'FY21-FY22 P&amp;L'!$A$52</definedName>
    <definedName name="QB_ROW_518320" localSheetId="5" hidden="1">'FY21-FY22 P&amp;L'!$A$159</definedName>
    <definedName name="QB_ROW_518330" localSheetId="5" hidden="1">'FY21-FY22 P&amp;L'!$A$161</definedName>
    <definedName name="QB_ROW_52320" localSheetId="5" hidden="1">'FY21-FY22 P&amp;L'!$A$46</definedName>
    <definedName name="QB_ROW_52330" localSheetId="5" hidden="1">'FY21-FY22 P&amp;L'!$A$48</definedName>
    <definedName name="QB_ROW_5330" localSheetId="5" hidden="1">'FY21-FY22 P&amp;L'!$B$15</definedName>
    <definedName name="QB_ROW_5340" localSheetId="5" hidden="1">'FY21-FY22 P&amp;L'!$B$16</definedName>
    <definedName name="QB_ROW_548230" localSheetId="5" hidden="1">'FY21-FY22 P&amp;L'!$B$158</definedName>
    <definedName name="QB_ROW_548240" localSheetId="5" hidden="1">'FY21-FY22 P&amp;L'!$B$160</definedName>
    <definedName name="QB_ROW_55030" localSheetId="5" hidden="1">'FY21-FY22 P&amp;L'!$B$50</definedName>
    <definedName name="QB_ROW_55040" localSheetId="5" hidden="1">'FY21-FY22 P&amp;L'!$B$53</definedName>
    <definedName name="QB_ROW_55240" localSheetId="5" hidden="1">'FY21-FY22 P&amp;L'!$C$52</definedName>
    <definedName name="QB_ROW_55250" localSheetId="5" hidden="1">'FY21-FY22 P&amp;L'!$C$55</definedName>
    <definedName name="QB_ROW_55330" localSheetId="5" hidden="1">'FY21-FY22 P&amp;L'!$B$53</definedName>
    <definedName name="QB_ROW_55340" localSheetId="5" hidden="1">'FY21-FY22 P&amp;L'!$B$56</definedName>
    <definedName name="QB_ROW_554020" localSheetId="6" hidden="1">'2nd Collections FY22'!$B$94</definedName>
    <definedName name="QB_ROW_554030" localSheetId="6" hidden="1">'2nd Collections FY22'!$B$108</definedName>
    <definedName name="QB_ROW_554320" localSheetId="6" hidden="1">'2nd Collections FY22'!$B$111</definedName>
    <definedName name="QB_ROW_554330" localSheetId="6" hidden="1">'2nd Collections FY22'!$B$110</definedName>
    <definedName name="QB_ROW_554350" localSheetId="4" hidden="1">'BS FY22 vs FY21'!$D$62</definedName>
    <definedName name="QB_ROW_558240" localSheetId="5" hidden="1">'FY21-FY22 P&amp;L'!$C$40</definedName>
    <definedName name="QB_ROW_558250" localSheetId="5" hidden="1">'FY21-FY22 P&amp;L'!$C$42</definedName>
    <definedName name="QB_ROW_560240" localSheetId="5" hidden="1">'FY21-FY22 P&amp;L'!$C$23</definedName>
    <definedName name="QB_ROW_560250" localSheetId="5" hidden="1">'FY21-FY22 P&amp;L'!$C$23</definedName>
    <definedName name="QB_ROW_56030" localSheetId="5" hidden="1">'FY21-FY22 P&amp;L'!$B$54</definedName>
    <definedName name="QB_ROW_56040" localSheetId="5" hidden="1">'FY21-FY22 P&amp;L'!$B$57</definedName>
    <definedName name="QB_ROW_561240" localSheetId="5" hidden="1">'FY21-FY22 P&amp;L'!$C$24</definedName>
    <definedName name="QB_ROW_561250" localSheetId="5" hidden="1">'FY21-FY22 P&amp;L'!$C$24</definedName>
    <definedName name="QB_ROW_562250" localSheetId="5" hidden="1">'FY21-FY22 P&amp;L'!$C$67</definedName>
    <definedName name="QB_ROW_562260" localSheetId="5" hidden="1">'FY21-FY22 P&amp;L'!$C$70</definedName>
    <definedName name="QB_ROW_56330" localSheetId="5" hidden="1">'FY21-FY22 P&amp;L'!$B$57</definedName>
    <definedName name="QB_ROW_56340" localSheetId="5" hidden="1">'FY21-FY22 P&amp;L'!$B$60</definedName>
    <definedName name="QB_ROW_568250" localSheetId="4" hidden="1">'BS FY22 vs FY21'!$C$9</definedName>
    <definedName name="QB_ROW_568250_1" localSheetId="4" hidden="1">'BS FY22 vs FY21'!$D$9</definedName>
    <definedName name="QB_ROW_569250" localSheetId="5" hidden="1">'FY21-FY22 P&amp;L'!$C$71</definedName>
    <definedName name="QB_ROW_569260" localSheetId="5" hidden="1">'FY21-FY22 P&amp;L'!$C$74</definedName>
    <definedName name="QB_ROW_570240" localSheetId="5" hidden="1">'FY21-FY22 P&amp;L'!$C$83</definedName>
    <definedName name="QB_ROW_570250" localSheetId="5" hidden="1">'FY21-FY22 P&amp;L'!$C$86</definedName>
    <definedName name="QB_ROW_572240" localSheetId="5" hidden="1">'FY21-FY22 P&amp;L'!$C$25</definedName>
    <definedName name="QB_ROW_572250" localSheetId="5" hidden="1">'FY21-FY22 P&amp;L'!$C$25</definedName>
    <definedName name="QB_ROW_57230" localSheetId="5" hidden="1">'FY21-FY22 P&amp;L'!$B$58</definedName>
    <definedName name="QB_ROW_57240" localSheetId="5" hidden="1">'FY21-FY22 P&amp;L'!$B$61</definedName>
    <definedName name="QB_ROW_573020" localSheetId="6" hidden="1">'2nd Collections FY22'!$B$112</definedName>
    <definedName name="QB_ROW_573320" localSheetId="6" hidden="1">'2nd Collections FY22'!$B$119</definedName>
    <definedName name="QB_ROW_575240" localSheetId="5" hidden="1">'FY21-FY22 P&amp;L'!$C$33</definedName>
    <definedName name="QB_ROW_575250" localSheetId="5" hidden="1">'FY21-FY22 P&amp;L'!$C$35</definedName>
    <definedName name="QB_ROW_576240" localSheetId="5" hidden="1">'FY21-FY22 P&amp;L'!$C$119</definedName>
    <definedName name="QB_ROW_576250" localSheetId="5" hidden="1">'FY21-FY22 P&amp;L'!$C$122</definedName>
    <definedName name="QB_ROW_580240" localSheetId="5" hidden="1">'FY21-FY22 P&amp;L'!$C$79</definedName>
    <definedName name="QB_ROW_580250" localSheetId="5" hidden="1">'FY21-FY22 P&amp;L'!$C$82</definedName>
    <definedName name="QB_ROW_58030" localSheetId="5" hidden="1">'FY21-FY22 P&amp;L'!$B$59</definedName>
    <definedName name="QB_ROW_58040" localSheetId="5" hidden="1">'FY21-FY22 P&amp;L'!$B$62</definedName>
    <definedName name="QB_ROW_581240" localSheetId="5" hidden="1">'FY21-FY22 P&amp;L'!$B$168</definedName>
    <definedName name="QB_ROW_58240" localSheetId="5" hidden="1">'FY21-FY22 P&amp;L'!$C$74</definedName>
    <definedName name="QB_ROW_58250" localSheetId="5" hidden="1">'FY21-FY22 P&amp;L'!$C$77</definedName>
    <definedName name="QB_ROW_583240" localSheetId="5" hidden="1">'FY21-FY22 P&amp;L'!$C$81</definedName>
    <definedName name="QB_ROW_583250" localSheetId="5" hidden="1">'FY21-FY22 P&amp;L'!$C$84</definedName>
    <definedName name="QB_ROW_58330" localSheetId="5" hidden="1">'FY21-FY22 P&amp;L'!$B$75</definedName>
    <definedName name="QB_ROW_58340" localSheetId="5" hidden="1">'FY21-FY22 P&amp;L'!$B$78</definedName>
    <definedName name="QB_ROW_586240" localSheetId="5" hidden="1">'FY21-FY22 P&amp;L'!$C$51</definedName>
    <definedName name="QB_ROW_586250" localSheetId="5" hidden="1">'FY21-FY22 P&amp;L'!$C$54</definedName>
    <definedName name="QB_ROW_590260" localSheetId="4" hidden="1">'BS FY22 vs FY21'!$D$41</definedName>
    <definedName name="QB_ROW_590260_1" localSheetId="4" hidden="1">'BS FY22 vs FY21'!$D$39</definedName>
    <definedName name="QB_ROW_591250" localSheetId="4" hidden="1">'BS FY22 vs FY21'!$C$71</definedName>
    <definedName name="QB_ROW_591250_1" localSheetId="4" hidden="1">'BS FY22 vs FY21'!$D$72</definedName>
    <definedName name="QB_ROW_592240" localSheetId="5" hidden="1">'FY21-FY22 P&amp;L'!$C$27</definedName>
    <definedName name="QB_ROW_592250" localSheetId="5" hidden="1">'FY21-FY22 P&amp;L'!$C$27</definedName>
    <definedName name="QB_ROW_59240" localSheetId="5" hidden="1">'FY21-FY22 P&amp;L'!$C$60</definedName>
    <definedName name="QB_ROW_59250" localSheetId="5" hidden="1">'FY21-FY22 P&amp;L'!$C$63</definedName>
    <definedName name="QB_ROW_593040" localSheetId="4" hidden="1">'BS FY22 vs FY21'!$C$52</definedName>
    <definedName name="QB_ROW_593040_1" localSheetId="4" hidden="1">'BS FY22 vs FY21'!$C$50</definedName>
    <definedName name="QB_ROW_593340" localSheetId="4" hidden="1">'BS FY22 vs FY21'!$C$54</definedName>
    <definedName name="QB_ROW_593340_1" localSheetId="4" hidden="1">'BS FY22 vs FY21'!$C$52</definedName>
    <definedName name="QB_ROW_594240" localSheetId="5" hidden="1">'FY21-FY22 P&amp;L'!$C$132</definedName>
    <definedName name="QB_ROW_594250" localSheetId="5" hidden="1">'FY21-FY22 P&amp;L'!$C$135</definedName>
    <definedName name="QB_ROW_595250" localSheetId="4" hidden="1">'BS FY22 vs FY21'!$C$15</definedName>
    <definedName name="QB_ROW_595250_1" localSheetId="4" hidden="1">'BS FY22 vs FY21'!$D$15</definedName>
    <definedName name="QB_ROW_596240" localSheetId="5" hidden="1">'FY21-FY22 P&amp;L'!$C$80</definedName>
    <definedName name="QB_ROW_596250" localSheetId="5" hidden="1">'FY21-FY22 P&amp;L'!$C$83</definedName>
    <definedName name="QB_ROW_600250" localSheetId="4" hidden="1">'BS FY22 vs FY21'!$C$53</definedName>
    <definedName name="QB_ROW_600250_1" localSheetId="4" hidden="1">'BS FY22 vs FY21'!$D$51</definedName>
    <definedName name="QB_ROW_601040" localSheetId="4" hidden="1">'BS FY22 vs FY21'!$B$14</definedName>
    <definedName name="QB_ROW_601040_1" localSheetId="4" hidden="1">'BS FY22 vs FY21'!$C$14</definedName>
    <definedName name="QB_ROW_601340" localSheetId="4" hidden="1">'BS FY22 vs FY21'!$B$16</definedName>
    <definedName name="QB_ROW_601340_1" localSheetId="4" hidden="1">'BS FY22 vs FY21'!$C$16</definedName>
    <definedName name="QB_ROW_602250" localSheetId="4" hidden="1">'BS FY22 vs FY21'!$C$74</definedName>
    <definedName name="QB_ROW_60240" localSheetId="5" hidden="1">'FY21-FY22 P&amp;L'!$C$61</definedName>
    <definedName name="QB_ROW_60250" localSheetId="5" hidden="1">'FY21-FY22 P&amp;L'!$C$64</definedName>
    <definedName name="QB_ROW_6030" localSheetId="5" hidden="1">'FY21-FY22 P&amp;L'!$B$16</definedName>
    <definedName name="QB_ROW_6040" localSheetId="5" hidden="1">'FY21-FY22 P&amp;L'!$B$17</definedName>
    <definedName name="QB_ROW_606240" localSheetId="5" hidden="1">'FY21-FY22 P&amp;L'!$C$82</definedName>
    <definedName name="QB_ROW_606250" localSheetId="5" hidden="1">'FY21-FY22 P&amp;L'!$C$85</definedName>
    <definedName name="QB_ROW_607250" localSheetId="4" hidden="1">'BS FY22 vs FY21'!$C$49</definedName>
    <definedName name="QB_ROW_607250_1" localSheetId="4" hidden="1">'BS FY22 vs FY21'!$D$47</definedName>
    <definedName name="QB_ROW_608240" localSheetId="5" hidden="1">'FY21-FY22 P&amp;L'!$C$95</definedName>
    <definedName name="QB_ROW_608250" localSheetId="5" hidden="1">'FY21-FY22 P&amp;L'!$C$97</definedName>
    <definedName name="QB_ROW_609250" localSheetId="5" hidden="1">'FY21-FY22 P&amp;L'!$C$98</definedName>
    <definedName name="QB_ROW_610250" localSheetId="5" hidden="1">'FY21-FY22 P&amp;L'!$C$28</definedName>
    <definedName name="QB_ROW_611250" localSheetId="5" hidden="1">'FY21-FY22 P&amp;L'!$C$29</definedName>
    <definedName name="QB_ROW_61240" localSheetId="5" hidden="1">'FY21-FY22 P&amp;L'!$C$62</definedName>
    <definedName name="QB_ROW_61250" localSheetId="5" hidden="1">'FY21-FY22 P&amp;L'!$C$65</definedName>
    <definedName name="QB_ROW_62240" localSheetId="5" hidden="1">'FY21-FY22 P&amp;L'!$C$63</definedName>
    <definedName name="QB_ROW_62250" localSheetId="5" hidden="1">'FY21-FY22 P&amp;L'!$C$66</definedName>
    <definedName name="QB_ROW_63240" localSheetId="5" hidden="1">'FY21-FY22 P&amp;L'!$C$65</definedName>
    <definedName name="QB_ROW_63250" localSheetId="5" hidden="1">'FY21-FY22 P&amp;L'!$C$68</definedName>
    <definedName name="QB_ROW_6330" localSheetId="5" hidden="1">'FY21-FY22 P&amp;L'!$B$20</definedName>
    <definedName name="QB_ROW_6340" localSheetId="5" hidden="1">'FY21-FY22 P&amp;L'!$B$21</definedName>
    <definedName name="QB_ROW_64040" localSheetId="5" hidden="1">'FY21-FY22 P&amp;L'!$C$66</definedName>
    <definedName name="QB_ROW_64050" localSheetId="5" hidden="1">'FY21-FY22 P&amp;L'!$C$69</definedName>
    <definedName name="QB_ROW_64250" localSheetId="5" hidden="1">'FY21-FY22 P&amp;L'!$C$68</definedName>
    <definedName name="QB_ROW_64260" localSheetId="5" hidden="1">'FY21-FY22 P&amp;L'!$C$71</definedName>
    <definedName name="QB_ROW_64340" localSheetId="5" hidden="1">'FY21-FY22 P&amp;L'!$C$69</definedName>
    <definedName name="QB_ROW_64350" localSheetId="5" hidden="1">'FY21-FY22 P&amp;L'!$C$72</definedName>
    <definedName name="QB_ROW_65040" localSheetId="5" hidden="1">'FY21-FY22 P&amp;L'!$C$70</definedName>
    <definedName name="QB_ROW_65050" localSheetId="5" hidden="1">'FY21-FY22 P&amp;L'!$C$73</definedName>
    <definedName name="QB_ROW_65250" localSheetId="5" hidden="1">'FY21-FY22 P&amp;L'!$C$72</definedName>
    <definedName name="QB_ROW_65260" localSheetId="5" hidden="1">'FY21-FY22 P&amp;L'!$C$75</definedName>
    <definedName name="QB_ROW_65340" localSheetId="5" hidden="1">'FY21-FY22 P&amp;L'!$C$73</definedName>
    <definedName name="QB_ROW_65350" localSheetId="5" hidden="1">'FY21-FY22 P&amp;L'!$C$76</definedName>
    <definedName name="QB_ROW_67230" localSheetId="5" hidden="1">'FY21-FY22 P&amp;L'!$B$76</definedName>
    <definedName name="QB_ROW_67240" localSheetId="5" hidden="1">'FY21-FY22 P&amp;L'!$B$79</definedName>
    <definedName name="QB_ROW_68030" localSheetId="5" hidden="1">'FY21-FY22 P&amp;L'!$B$77</definedName>
    <definedName name="QB_ROW_68040" localSheetId="5" hidden="1">'FY21-FY22 P&amp;L'!$B$80</definedName>
    <definedName name="QB_ROW_68240" localSheetId="5" hidden="1">'FY21-FY22 P&amp;L'!$C$92</definedName>
    <definedName name="QB_ROW_68250" localSheetId="5" hidden="1">'FY21-FY22 P&amp;L'!$C$94</definedName>
    <definedName name="QB_ROW_68330" localSheetId="5" hidden="1">'FY21-FY22 P&amp;L'!$B$93</definedName>
    <definedName name="QB_ROW_68340" localSheetId="5" hidden="1">'FY21-FY22 P&amp;L'!$B$95</definedName>
    <definedName name="QB_ROW_69030" localSheetId="5" hidden="1">'FY21-FY22 P&amp;L'!$B$94</definedName>
    <definedName name="QB_ROW_69040" localSheetId="5" hidden="1">'FY21-FY22 P&amp;L'!$B$96</definedName>
    <definedName name="QB_ROW_69240" localSheetId="5" hidden="1">'FY21-FY22 P&amp;L'!$C$96</definedName>
    <definedName name="QB_ROW_69250" localSheetId="5" hidden="1">'FY21-FY22 P&amp;L'!$C$99</definedName>
    <definedName name="QB_ROW_69330" localSheetId="5" hidden="1">'FY21-FY22 P&amp;L'!$B$97</definedName>
    <definedName name="QB_ROW_69340" localSheetId="5" hidden="1">'FY21-FY22 P&amp;L'!$B$100</definedName>
    <definedName name="QB_ROW_7001" localSheetId="9" hidden="1">'BS 2016-2017'!$A$22</definedName>
    <definedName name="QB_ROW_7001" localSheetId="4" hidden="1">'BS FY22 vs FY21'!$C$35</definedName>
    <definedName name="QB_ROW_7001_1" localSheetId="4" hidden="1">'BS FY22 vs FY21'!$A$33</definedName>
    <definedName name="QB_ROW_70230" localSheetId="5" hidden="1">'FY21-FY22 P&amp;L'!$B$98</definedName>
    <definedName name="QB_ROW_70240" localSheetId="5" hidden="1">'FY21-FY22 P&amp;L'!$B$101</definedName>
    <definedName name="QB_ROW_7030" localSheetId="5" hidden="1">'FY21-FY22 P&amp;L'!$B$21</definedName>
    <definedName name="QB_ROW_7040" localSheetId="5" hidden="1">'FY21-FY22 P&amp;L'!$B$22</definedName>
    <definedName name="QB_ROW_71030" localSheetId="5" hidden="1">'FY21-FY22 P&amp;L'!$B$99</definedName>
    <definedName name="QB_ROW_71040" localSheetId="5" hidden="1">'FY21-FY22 P&amp;L'!$B$102</definedName>
    <definedName name="QB_ROW_71240" localSheetId="5" hidden="1">'FY21-FY22 P&amp;L'!$C$103</definedName>
    <definedName name="QB_ROW_71250" localSheetId="5" hidden="1">'FY21-FY22 P&amp;L'!$C$106</definedName>
    <definedName name="QB_ROW_71330" localSheetId="5" hidden="1">'FY21-FY22 P&amp;L'!$B$104</definedName>
    <definedName name="QB_ROW_71340" localSheetId="5" hidden="1">'FY21-FY22 P&amp;L'!$B$107</definedName>
    <definedName name="QB_ROW_72030" localSheetId="5" hidden="1">'FY21-FY22 P&amp;L'!$B$105</definedName>
    <definedName name="QB_ROW_72040" localSheetId="5" hidden="1">'FY21-FY22 P&amp;L'!$B$108</definedName>
    <definedName name="QB_ROW_72250" localSheetId="5" hidden="1">'FY21-FY22 P&amp;L'!$C$115</definedName>
    <definedName name="QB_ROW_72330" localSheetId="5" hidden="1">'FY21-FY22 P&amp;L'!$B$112</definedName>
    <definedName name="QB_ROW_72340" localSheetId="5" hidden="1">'FY21-FY22 P&amp;L'!$B$116</definedName>
    <definedName name="QB_ROW_7250" localSheetId="5" hidden="1">'FY21-FY22 P&amp;L'!$C$36</definedName>
    <definedName name="QB_ROW_7301" localSheetId="9" hidden="1">'BS 2016-2017'!$A$39</definedName>
    <definedName name="QB_ROW_7301" localSheetId="4" hidden="1">'BS FY22 vs FY21'!$A$84</definedName>
    <definedName name="QB_ROW_7301_1" localSheetId="4" hidden="1">'BS FY22 vs FY21'!$A$82</definedName>
    <definedName name="QB_ROW_73030" localSheetId="5" hidden="1">'FY21-FY22 P&amp;L'!$B$113</definedName>
    <definedName name="QB_ROW_73040" localSheetId="5" hidden="1">'FY21-FY22 P&amp;L'!$B$117</definedName>
    <definedName name="QB_ROW_73240" localSheetId="5" hidden="1">'FY21-FY22 P&amp;L'!$C$120</definedName>
    <definedName name="QB_ROW_73250" localSheetId="5" hidden="1">'FY21-FY22 P&amp;L'!$C$123</definedName>
    <definedName name="QB_ROW_7330" localSheetId="5" hidden="1">'FY21-FY22 P&amp;L'!$B$34</definedName>
    <definedName name="QB_ROW_73330" localSheetId="5" hidden="1">'FY21-FY22 P&amp;L'!$B$121</definedName>
    <definedName name="QB_ROW_73340" localSheetId="5" hidden="1">'FY21-FY22 P&amp;L'!$B$124</definedName>
    <definedName name="QB_ROW_7340" localSheetId="5" hidden="1">'FY21-FY22 P&amp;L'!$B$37</definedName>
    <definedName name="QB_ROW_74030" localSheetId="5" hidden="1">'FY21-FY22 P&amp;L'!$B$122</definedName>
    <definedName name="QB_ROW_74040" localSheetId="5" hidden="1">'FY21-FY22 P&amp;L'!$B$125</definedName>
    <definedName name="QB_ROW_74330" localSheetId="5" hidden="1">'FY21-FY22 P&amp;L'!$B$127</definedName>
    <definedName name="QB_ROW_74340" localSheetId="5" hidden="1">'FY21-FY22 P&amp;L'!$B$130</definedName>
    <definedName name="QB_ROW_75030" localSheetId="5" hidden="1">'FY21-FY22 P&amp;L'!$B$128</definedName>
    <definedName name="QB_ROW_75040" localSheetId="5" hidden="1">'FY21-FY22 P&amp;L'!$B$131</definedName>
    <definedName name="QB_ROW_75240" localSheetId="5" hidden="1">'FY21-FY22 P&amp;L'!$C$133</definedName>
    <definedName name="QB_ROW_75250" localSheetId="5" hidden="1">'FY21-FY22 P&amp;L'!$C$136</definedName>
    <definedName name="QB_ROW_75330" localSheetId="5" hidden="1">'FY21-FY22 P&amp;L'!$B$134</definedName>
    <definedName name="QB_ROW_75340" localSheetId="5" hidden="1">'FY21-FY22 P&amp;L'!$B$137</definedName>
    <definedName name="QB_ROW_76030" localSheetId="5" hidden="1">'FY21-FY22 P&amp;L'!$B$135</definedName>
    <definedName name="QB_ROW_76040" localSheetId="5" hidden="1">'FY21-FY22 P&amp;L'!$B$138</definedName>
    <definedName name="QB_ROW_76240" localSheetId="5" hidden="1">'FY21-FY22 P&amp;L'!$C$137</definedName>
    <definedName name="QB_ROW_76330" localSheetId="5" hidden="1">'FY21-FY22 P&amp;L'!$B$138</definedName>
    <definedName name="QB_ROW_76340" localSheetId="5" hidden="1">'FY21-FY22 P&amp;L'!$B$141</definedName>
    <definedName name="QB_ROW_77030" localSheetId="5" hidden="1">'FY21-FY22 P&amp;L'!$B$139</definedName>
    <definedName name="QB_ROW_77040" localSheetId="5" hidden="1">'FY21-FY22 P&amp;L'!$B$142</definedName>
    <definedName name="QB_ROW_77330" localSheetId="5" hidden="1">'FY21-FY22 P&amp;L'!$B$142</definedName>
    <definedName name="QB_ROW_77340" localSheetId="5" hidden="1">'FY21-FY22 P&amp;L'!$B$145</definedName>
    <definedName name="QB_ROW_78030" localSheetId="5" hidden="1">'FY21-FY22 P&amp;L'!$B$143</definedName>
    <definedName name="QB_ROW_78040" localSheetId="5" hidden="1">'FY21-FY22 P&amp;L'!$B$146</definedName>
    <definedName name="QB_ROW_78330" localSheetId="5" hidden="1">'FY21-FY22 P&amp;L'!$B$146</definedName>
    <definedName name="QB_ROW_78340" localSheetId="5" hidden="1">'FY21-FY22 P&amp;L'!$B$149</definedName>
    <definedName name="QB_ROW_79030" localSheetId="5" hidden="1">'FY21-FY22 P&amp;L'!$B$147</definedName>
    <definedName name="QB_ROW_79040" localSheetId="5" hidden="1">'FY21-FY22 P&amp;L'!$B$150</definedName>
    <definedName name="QB_ROW_79330" localSheetId="5" hidden="1">'FY21-FY22 P&amp;L'!$B$151</definedName>
    <definedName name="QB_ROW_79340" localSheetId="5" hidden="1">'FY21-FY22 P&amp;L'!$B$154</definedName>
    <definedName name="QB_ROW_80030" localSheetId="5" hidden="1">'FY21-FY22 P&amp;L'!$B$152</definedName>
    <definedName name="QB_ROW_80040" localSheetId="5" hidden="1">'FY21-FY22 P&amp;L'!$B$155</definedName>
    <definedName name="QB_ROW_8011" localSheetId="9" hidden="1">'BS 2016-2017'!$B$23</definedName>
    <definedName name="QB_ROW_8011" localSheetId="4" hidden="1">'BS FY22 vs FY21'!$C$36</definedName>
    <definedName name="QB_ROW_8011_1" localSheetId="4" hidden="1">'BS FY22 vs FY21'!$A$34</definedName>
    <definedName name="QB_ROW_80240" localSheetId="5" hidden="1">'FY21-FY22 P&amp;L'!$C$155</definedName>
    <definedName name="QB_ROW_8030" localSheetId="5" hidden="1">'FY21-FY22 P&amp;L'!$B$35</definedName>
    <definedName name="QB_ROW_80330" localSheetId="5" hidden="1">'FY21-FY22 P&amp;L'!$B$156</definedName>
    <definedName name="QB_ROW_80340" localSheetId="5" hidden="1">'FY21-FY22 P&amp;L'!$B$158</definedName>
    <definedName name="QB_ROW_8040" localSheetId="5" hidden="1">'FY21-FY22 P&amp;L'!$B$38</definedName>
    <definedName name="QB_ROW_81230" localSheetId="5" hidden="1">'FY21-FY22 P&amp;L'!$B$157</definedName>
    <definedName name="QB_ROW_81240" localSheetId="5" hidden="1">'FY21-FY22 P&amp;L'!$B$159</definedName>
    <definedName name="QB_ROW_82240" localSheetId="5" hidden="1">'FY21-FY22 P&amp;L'!$C$32</definedName>
    <definedName name="QB_ROW_82250" localSheetId="5" hidden="1">'FY21-FY22 P&amp;L'!$C$34</definedName>
    <definedName name="QB_ROW_83020" localSheetId="5" hidden="1">'FY21-FY22 P&amp;L'!#REF!</definedName>
    <definedName name="QB_ROW_83030" localSheetId="5" hidden="1">'FY21-FY22 P&amp;L'!$A$162</definedName>
    <definedName name="QB_ROW_8311" localSheetId="9" hidden="1">'BS 2016-2017'!$B$33</definedName>
    <definedName name="QB_ROW_8311" localSheetId="4" hidden="1">'BS FY22 vs FY21'!$A$78</definedName>
    <definedName name="QB_ROW_8311_1" localSheetId="4" hidden="1">'BS FY22 vs FY21'!$A$76</definedName>
    <definedName name="QB_ROW_8330" localSheetId="5" hidden="1">'FY21-FY22 P&amp;L'!$B$41</definedName>
    <definedName name="QB_ROW_83320" localSheetId="5" hidden="1">'FY21-FY22 P&amp;L'!#REF!</definedName>
    <definedName name="QB_ROW_83330" localSheetId="5" hidden="1">'FY21-FY22 P&amp;L'!$A$166</definedName>
    <definedName name="QB_ROW_8340" localSheetId="5" hidden="1">'FY21-FY22 P&amp;L'!$B$43</definedName>
    <definedName name="QB_ROW_86311" localSheetId="5" hidden="1">'FY21-FY22 P&amp;L'!$A$50</definedName>
    <definedName name="QB_ROW_9021" localSheetId="9" hidden="1">'BS 2016-2017'!$C$24</definedName>
    <definedName name="QB_ROW_9021" localSheetId="4" hidden="1">'BS FY22 vs FY21'!$C$37</definedName>
    <definedName name="QB_ROW_9021_1" localSheetId="4" hidden="1">'BS FY22 vs FY21'!$A$35</definedName>
    <definedName name="QB_ROW_9321" localSheetId="9" hidden="1">'BS 2016-2017'!$C$32</definedName>
    <definedName name="QB_ROW_9321" localSheetId="4" hidden="1">'BS FY22 vs FY21'!$A$67</definedName>
    <definedName name="QB_ROW_9321_1" localSheetId="4" hidden="1">'BS FY22 vs FY21'!$A$68</definedName>
    <definedName name="QB_ROW_99030" localSheetId="5" hidden="1">'FY21-FY22 P&amp;L'!#REF!</definedName>
    <definedName name="QB_ROW_99330" localSheetId="5" hidden="1">'FY21-FY22 P&amp;L'!#REF!</definedName>
    <definedName name="QBCANSUPPORTUPDATE" localSheetId="6">TRUE</definedName>
    <definedName name="QBCANSUPPORTUPDATE" localSheetId="9">TRUE</definedName>
    <definedName name="QBCANSUPPORTUPDATE" localSheetId="4">TRUE</definedName>
    <definedName name="QBCANSUPPORTUPDATE" localSheetId="5">TRUE</definedName>
    <definedName name="QBCOMPANYFILENAME" localSheetId="6">"I:\st_cathe08-23-16-REV2.qbw"</definedName>
    <definedName name="QBCOMPANYFILENAME" localSheetId="9">"C:\Utilities\DATA\QuickBooks-2016\st_cathe08-23-16-REV2.qbw"</definedName>
    <definedName name="QBCOMPANYFILENAME" localSheetId="4">"I:\st_cathe08-23-16-REV2.qbw"</definedName>
    <definedName name="QBCOMPANYFILENAME" localSheetId="5">"I:\st_cathe08-23-16-REV2.qbw"</definedName>
    <definedName name="QBENDDATE" localSheetId="6">20220630</definedName>
    <definedName name="QBENDDATE" localSheetId="9">20170630</definedName>
    <definedName name="QBENDDATE" localSheetId="4">20210630</definedName>
    <definedName name="QBENDDATE" localSheetId="5">20210630</definedName>
    <definedName name="QBENDDATE_1" localSheetId="4">20220630</definedName>
    <definedName name="QBENDDATE_1" localSheetId="5">20220630</definedName>
    <definedName name="QBHEADERSONSCREEN" localSheetId="6">FALSE</definedName>
    <definedName name="QBHEADERSONSCREEN" localSheetId="9">FALSE</definedName>
    <definedName name="QBHEADERSONSCREEN" localSheetId="4">FALSE</definedName>
    <definedName name="QBHEADERSONSCREEN" localSheetId="5">FALSE</definedName>
    <definedName name="QBMETADATASIZE" localSheetId="6">7622</definedName>
    <definedName name="QBMETADATASIZE" localSheetId="9">5892</definedName>
    <definedName name="QBMETADATASIZE" localSheetId="4">5924</definedName>
    <definedName name="QBMETADATASIZE" localSheetId="5">5924</definedName>
    <definedName name="QBPRESERVECOLOR" localSheetId="6">TRUE</definedName>
    <definedName name="QBPRESERVECOLOR" localSheetId="9">TRUE</definedName>
    <definedName name="QBPRESERVECOLOR" localSheetId="4">TRUE</definedName>
    <definedName name="QBPRESERVECOLOR" localSheetId="5">TRUE</definedName>
    <definedName name="QBPRESERVEFONT" localSheetId="6">TRUE</definedName>
    <definedName name="QBPRESERVEFONT" localSheetId="9">TRUE</definedName>
    <definedName name="QBPRESERVEFONT" localSheetId="4">TRUE</definedName>
    <definedName name="QBPRESERVEFONT" localSheetId="5">TRUE</definedName>
    <definedName name="QBPRESERVEROWHEIGHT" localSheetId="6">TRUE</definedName>
    <definedName name="QBPRESERVEROWHEIGHT" localSheetId="9">TRUE</definedName>
    <definedName name="QBPRESERVEROWHEIGHT" localSheetId="4">TRUE</definedName>
    <definedName name="QBPRESERVEROWHEIGHT" localSheetId="5">TRUE</definedName>
    <definedName name="QBPRESERVESPACE" localSheetId="6">TRUE</definedName>
    <definedName name="QBPRESERVESPACE" localSheetId="9">TRUE</definedName>
    <definedName name="QBPRESERVESPACE" localSheetId="4">TRUE</definedName>
    <definedName name="QBPRESERVESPACE" localSheetId="5">TRUE</definedName>
    <definedName name="QBREPORTCOLAXIS" localSheetId="6">0</definedName>
    <definedName name="QBREPORTCOLAXIS" localSheetId="9">0</definedName>
    <definedName name="QBREPORTCOLAXIS" localSheetId="4">0</definedName>
    <definedName name="QBREPORTCOLAXIS" localSheetId="5">0</definedName>
    <definedName name="QBREPORTCOMPANYID" localSheetId="6">"545f8fcf2c3b4babbe2e4272567c20e8"</definedName>
    <definedName name="QBREPORTCOMPANYID" localSheetId="9">"545f8fcf2c3b4babbe2e4272567c20e8"</definedName>
    <definedName name="QBREPORTCOMPANYID" localSheetId="4">"545f8fcf2c3b4babbe2e4272567c20e8"</definedName>
    <definedName name="QBREPORTCOMPANYID" localSheetId="5">"545f8fcf2c3b4babbe2e4272567c20e8"</definedName>
    <definedName name="QBREPORTCOMPARECOL_ANNUALBUDGET" localSheetId="6">FALSE</definedName>
    <definedName name="QBREPORTCOMPARECOL_ANNUALBUDGET" localSheetId="9">FALSE</definedName>
    <definedName name="QBREPORTCOMPARECOL_ANNUALBUDGET" localSheetId="4">FALSE</definedName>
    <definedName name="QBREPORTCOMPARECOL_ANNUALBUDGET" localSheetId="5">FALSE</definedName>
    <definedName name="QBREPORTCOMPARECOL_AVGCOGS" localSheetId="6">FALSE</definedName>
    <definedName name="QBREPORTCOMPARECOL_AVGCOGS" localSheetId="9">FALSE</definedName>
    <definedName name="QBREPORTCOMPARECOL_AVGCOGS" localSheetId="4">FALSE</definedName>
    <definedName name="QBREPORTCOMPARECOL_AVGCOGS" localSheetId="5">FALSE</definedName>
    <definedName name="QBREPORTCOMPARECOL_AVGPRICE" localSheetId="6">FALSE</definedName>
    <definedName name="QBREPORTCOMPARECOL_AVGPRICE" localSheetId="9">FALSE</definedName>
    <definedName name="QBREPORTCOMPARECOL_AVGPRICE" localSheetId="4">FALSE</definedName>
    <definedName name="QBREPORTCOMPARECOL_AVGPRICE" localSheetId="5">FALSE</definedName>
    <definedName name="QBREPORTCOMPARECOL_BUDDIFF" localSheetId="6">FALSE</definedName>
    <definedName name="QBREPORTCOMPARECOL_BUDDIFF" localSheetId="9">FALSE</definedName>
    <definedName name="QBREPORTCOMPARECOL_BUDDIFF" localSheetId="4">FALSE</definedName>
    <definedName name="QBREPORTCOMPARECOL_BUDDIFF" localSheetId="5">FALSE</definedName>
    <definedName name="QBREPORTCOMPARECOL_BUDGET" localSheetId="6">FALSE</definedName>
    <definedName name="QBREPORTCOMPARECOL_BUDGET" localSheetId="9">FALSE</definedName>
    <definedName name="QBREPORTCOMPARECOL_BUDGET" localSheetId="4">FALSE</definedName>
    <definedName name="QBREPORTCOMPARECOL_BUDGET" localSheetId="5">FALSE</definedName>
    <definedName name="QBREPORTCOMPARECOL_BUDPCT" localSheetId="6">FALSE</definedName>
    <definedName name="QBREPORTCOMPARECOL_BUDPCT" localSheetId="9">FALSE</definedName>
    <definedName name="QBREPORTCOMPARECOL_BUDPCT" localSheetId="4">FALSE</definedName>
    <definedName name="QBREPORTCOMPARECOL_BUDPCT" localSheetId="5">FALSE</definedName>
    <definedName name="QBREPORTCOMPARECOL_COGS" localSheetId="6">FALSE</definedName>
    <definedName name="QBREPORTCOMPARECOL_COGS" localSheetId="9">FALSE</definedName>
    <definedName name="QBREPORTCOMPARECOL_COGS" localSheetId="4">FALSE</definedName>
    <definedName name="QBREPORTCOMPARECOL_COGS" localSheetId="5">FALSE</definedName>
    <definedName name="QBREPORTCOMPARECOL_EXCLUDEAMOUNT" localSheetId="6">FALSE</definedName>
    <definedName name="QBREPORTCOMPARECOL_EXCLUDEAMOUNT" localSheetId="9">FALSE</definedName>
    <definedName name="QBREPORTCOMPARECOL_EXCLUDEAMOUNT" localSheetId="4">FALSE</definedName>
    <definedName name="QBREPORTCOMPARECOL_EXCLUDEAMOUNT" localSheetId="5">FALSE</definedName>
    <definedName name="QBREPORTCOMPARECOL_EXCLUDECURPERIOD" localSheetId="6">FALSE</definedName>
    <definedName name="QBREPORTCOMPARECOL_EXCLUDECURPERIOD" localSheetId="9">FALSE</definedName>
    <definedName name="QBREPORTCOMPARECOL_EXCLUDECURPERIOD" localSheetId="4">FALSE</definedName>
    <definedName name="QBREPORTCOMPARECOL_EXCLUDECURPERIOD" localSheetId="5">FALSE</definedName>
    <definedName name="QBREPORTCOMPARECOL_FORECAST" localSheetId="6">FALSE</definedName>
    <definedName name="QBREPORTCOMPARECOL_FORECAST" localSheetId="9">FALSE</definedName>
    <definedName name="QBREPORTCOMPARECOL_FORECAST" localSheetId="4">FALSE</definedName>
    <definedName name="QBREPORTCOMPARECOL_FORECAST" localSheetId="5">FALSE</definedName>
    <definedName name="QBREPORTCOMPARECOL_GROSSMARGIN" localSheetId="6">FALSE</definedName>
    <definedName name="QBREPORTCOMPARECOL_GROSSMARGIN" localSheetId="9">FALSE</definedName>
    <definedName name="QBREPORTCOMPARECOL_GROSSMARGIN" localSheetId="4">FALSE</definedName>
    <definedName name="QBREPORTCOMPARECOL_GROSSMARGIN" localSheetId="5">FALSE</definedName>
    <definedName name="QBREPORTCOMPARECOL_GROSSMARGINPCT" localSheetId="6">FALSE</definedName>
    <definedName name="QBREPORTCOMPARECOL_GROSSMARGINPCT" localSheetId="9">FALSE</definedName>
    <definedName name="QBREPORTCOMPARECOL_GROSSMARGINPCT" localSheetId="4">FALSE</definedName>
    <definedName name="QBREPORTCOMPARECOL_GROSSMARGINPCT" localSheetId="5">FALSE</definedName>
    <definedName name="QBREPORTCOMPARECOL_HOURS" localSheetId="6">FALSE</definedName>
    <definedName name="QBREPORTCOMPARECOL_HOURS" localSheetId="9">FALSE</definedName>
    <definedName name="QBREPORTCOMPARECOL_HOURS" localSheetId="4">FALSE</definedName>
    <definedName name="QBREPORTCOMPARECOL_HOURS" localSheetId="5">FALSE</definedName>
    <definedName name="QBREPORTCOMPARECOL_PCTCOL" localSheetId="6">FALSE</definedName>
    <definedName name="QBREPORTCOMPARECOL_PCTCOL" localSheetId="9">FALSE</definedName>
    <definedName name="QBREPORTCOMPARECOL_PCTCOL" localSheetId="4">FALSE</definedName>
    <definedName name="QBREPORTCOMPARECOL_PCTCOL" localSheetId="5">FALSE</definedName>
    <definedName name="QBREPORTCOMPARECOL_PCTEXPENSE" localSheetId="6">FALSE</definedName>
    <definedName name="QBREPORTCOMPARECOL_PCTEXPENSE" localSheetId="9">FALSE</definedName>
    <definedName name="QBREPORTCOMPARECOL_PCTEXPENSE" localSheetId="4">FALSE</definedName>
    <definedName name="QBREPORTCOMPARECOL_PCTEXPENSE" localSheetId="5">FALSE</definedName>
    <definedName name="QBREPORTCOMPARECOL_PCTINCOME" localSheetId="6">FALSE</definedName>
    <definedName name="QBREPORTCOMPARECOL_PCTINCOME" localSheetId="9">FALSE</definedName>
    <definedName name="QBREPORTCOMPARECOL_PCTINCOME" localSheetId="4">FALSE</definedName>
    <definedName name="QBREPORTCOMPARECOL_PCTINCOME" localSheetId="5">FALSE</definedName>
    <definedName name="QBREPORTCOMPARECOL_PCTOFSALES" localSheetId="6">FALSE</definedName>
    <definedName name="QBREPORTCOMPARECOL_PCTOFSALES" localSheetId="9">FALSE</definedName>
    <definedName name="QBREPORTCOMPARECOL_PCTOFSALES" localSheetId="4">FALSE</definedName>
    <definedName name="QBREPORTCOMPARECOL_PCTOFSALES" localSheetId="5">FALSE</definedName>
    <definedName name="QBREPORTCOMPARECOL_PCTROW" localSheetId="6">FALSE</definedName>
    <definedName name="QBREPORTCOMPARECOL_PCTROW" localSheetId="9">FALSE</definedName>
    <definedName name="QBREPORTCOMPARECOL_PCTROW" localSheetId="4">FALSE</definedName>
    <definedName name="QBREPORTCOMPARECOL_PCTROW" localSheetId="5">FALSE</definedName>
    <definedName name="QBREPORTCOMPARECOL_PPDIFF" localSheetId="6">FALSE</definedName>
    <definedName name="QBREPORTCOMPARECOL_PPDIFF" localSheetId="9">FALSE</definedName>
    <definedName name="QBREPORTCOMPARECOL_PPDIFF" localSheetId="4">FALSE</definedName>
    <definedName name="QBREPORTCOMPARECOL_PPDIFF" localSheetId="5">FALSE</definedName>
    <definedName name="QBREPORTCOMPARECOL_PPPCT" localSheetId="6">FALSE</definedName>
    <definedName name="QBREPORTCOMPARECOL_PPPCT" localSheetId="9">FALSE</definedName>
    <definedName name="QBREPORTCOMPARECOL_PPPCT" localSheetId="4">FALSE</definedName>
    <definedName name="QBREPORTCOMPARECOL_PPPCT" localSheetId="5">FALSE</definedName>
    <definedName name="QBREPORTCOMPARECOL_PREVPERIOD" localSheetId="6">FALSE</definedName>
    <definedName name="QBREPORTCOMPARECOL_PREVPERIOD" localSheetId="9">FALSE</definedName>
    <definedName name="QBREPORTCOMPARECOL_PREVPERIOD" localSheetId="4">FALSE</definedName>
    <definedName name="QBREPORTCOMPARECOL_PREVPERIOD" localSheetId="5">FALSE</definedName>
    <definedName name="QBREPORTCOMPARECOL_PREVYEAR" localSheetId="6">FALSE</definedName>
    <definedName name="QBREPORTCOMPARECOL_PREVYEAR" localSheetId="9">FALSE</definedName>
    <definedName name="QBREPORTCOMPARECOL_PREVYEAR" localSheetId="4">TRUE</definedName>
    <definedName name="QBREPORTCOMPARECOL_PREVYEAR" localSheetId="5">TRUE</definedName>
    <definedName name="QBREPORTCOMPARECOL_PYDIFF" localSheetId="6">FALSE</definedName>
    <definedName name="QBREPORTCOMPARECOL_PYDIFF" localSheetId="9">FALSE</definedName>
    <definedName name="QBREPORTCOMPARECOL_PYDIFF" localSheetId="4">TRUE</definedName>
    <definedName name="QBREPORTCOMPARECOL_PYDIFF" localSheetId="5">TRUE</definedName>
    <definedName name="QBREPORTCOMPARECOL_PYPCT" localSheetId="6">FALSE</definedName>
    <definedName name="QBREPORTCOMPARECOL_PYPCT" localSheetId="9">FALSE</definedName>
    <definedName name="QBREPORTCOMPARECOL_PYPCT" localSheetId="4">TRUE</definedName>
    <definedName name="QBREPORTCOMPARECOL_PYPCT" localSheetId="5">TRUE</definedName>
    <definedName name="QBREPORTCOMPARECOL_QTY" localSheetId="6">FALSE</definedName>
    <definedName name="QBREPORTCOMPARECOL_QTY" localSheetId="9">FALSE</definedName>
    <definedName name="QBREPORTCOMPARECOL_QTY" localSheetId="4">FALSE</definedName>
    <definedName name="QBREPORTCOMPARECOL_QTY" localSheetId="5">FALSE</definedName>
    <definedName name="QBREPORTCOMPARECOL_RATE" localSheetId="6">FALSE</definedName>
    <definedName name="QBREPORTCOMPARECOL_RATE" localSheetId="9">FALSE</definedName>
    <definedName name="QBREPORTCOMPARECOL_RATE" localSheetId="4">FALSE</definedName>
    <definedName name="QBREPORTCOMPARECOL_RATE" localSheetId="5">FALSE</definedName>
    <definedName name="QBREPORTCOMPARECOL_TRIPBILLEDMILES" localSheetId="6">FALSE</definedName>
    <definedName name="QBREPORTCOMPARECOL_TRIPBILLEDMILES" localSheetId="9">FALSE</definedName>
    <definedName name="QBREPORTCOMPARECOL_TRIPBILLEDMILES" localSheetId="4">FALSE</definedName>
    <definedName name="QBREPORTCOMPARECOL_TRIPBILLEDMILES" localSheetId="5">FALSE</definedName>
    <definedName name="QBREPORTCOMPARECOL_TRIPBILLINGAMOUNT" localSheetId="6">FALSE</definedName>
    <definedName name="QBREPORTCOMPARECOL_TRIPBILLINGAMOUNT" localSheetId="9">FALSE</definedName>
    <definedName name="QBREPORTCOMPARECOL_TRIPBILLINGAMOUNT" localSheetId="4">FALSE</definedName>
    <definedName name="QBREPORTCOMPARECOL_TRIPBILLINGAMOUNT" localSheetId="5">FALSE</definedName>
    <definedName name="QBREPORTCOMPARECOL_TRIPMILES" localSheetId="6">FALSE</definedName>
    <definedName name="QBREPORTCOMPARECOL_TRIPMILES" localSheetId="9">FALSE</definedName>
    <definedName name="QBREPORTCOMPARECOL_TRIPMILES" localSheetId="4">FALSE</definedName>
    <definedName name="QBREPORTCOMPARECOL_TRIPMILES" localSheetId="5">FALSE</definedName>
    <definedName name="QBREPORTCOMPARECOL_TRIPNOTBILLABLEMILES" localSheetId="6">FALSE</definedName>
    <definedName name="QBREPORTCOMPARECOL_TRIPNOTBILLABLEMILES" localSheetId="9">FALSE</definedName>
    <definedName name="QBREPORTCOMPARECOL_TRIPNOTBILLABLEMILES" localSheetId="4">FALSE</definedName>
    <definedName name="QBREPORTCOMPARECOL_TRIPNOTBILLABLEMILES" localSheetId="5">FALSE</definedName>
    <definedName name="QBREPORTCOMPARECOL_TRIPTAXDEDUCTIBLEAMOUNT" localSheetId="6">FALSE</definedName>
    <definedName name="QBREPORTCOMPARECOL_TRIPTAXDEDUCTIBLEAMOUNT" localSheetId="9">FALSE</definedName>
    <definedName name="QBREPORTCOMPARECOL_TRIPTAXDEDUCTIBLEAMOUNT" localSheetId="4">FALSE</definedName>
    <definedName name="QBREPORTCOMPARECOL_TRIPTAXDEDUCTIBLEAMOUNT" localSheetId="5">FALSE</definedName>
    <definedName name="QBREPORTCOMPARECOL_TRIPUNBILLEDMILES" localSheetId="6">FALSE</definedName>
    <definedName name="QBREPORTCOMPARECOL_TRIPUNBILLEDMILES" localSheetId="9">FALSE</definedName>
    <definedName name="QBREPORTCOMPARECOL_TRIPUNBILLEDMILES" localSheetId="4">FALSE</definedName>
    <definedName name="QBREPORTCOMPARECOL_TRIPUNBILLEDMILES" localSheetId="5">FALSE</definedName>
    <definedName name="QBREPORTCOMPARECOL_YTD" localSheetId="6">FALSE</definedName>
    <definedName name="QBREPORTCOMPARECOL_YTD" localSheetId="9">FALSE</definedName>
    <definedName name="QBREPORTCOMPARECOL_YTD" localSheetId="4">FALSE</definedName>
    <definedName name="QBREPORTCOMPARECOL_YTD" localSheetId="5">FALSE</definedName>
    <definedName name="QBREPORTCOMPARECOL_YTDBUDGET" localSheetId="6">FALSE</definedName>
    <definedName name="QBREPORTCOMPARECOL_YTDBUDGET" localSheetId="9">FALSE</definedName>
    <definedName name="QBREPORTCOMPARECOL_YTDBUDGET" localSheetId="4">FALSE</definedName>
    <definedName name="QBREPORTCOMPARECOL_YTDBUDGET" localSheetId="5">FALSE</definedName>
    <definedName name="QBREPORTCOMPARECOL_YTDPCT" localSheetId="6">FALSE</definedName>
    <definedName name="QBREPORTCOMPARECOL_YTDPCT" localSheetId="9">FALSE</definedName>
    <definedName name="QBREPORTCOMPARECOL_YTDPCT" localSheetId="4">FALSE</definedName>
    <definedName name="QBREPORTCOMPARECOL_YTDPCT" localSheetId="5">FALSE</definedName>
    <definedName name="QBREPORTROWAXIS" localSheetId="6">12</definedName>
    <definedName name="QBREPORTROWAXIS" localSheetId="9">9</definedName>
    <definedName name="QBREPORTROWAXIS" localSheetId="4">9</definedName>
    <definedName name="QBREPORTROWAXIS" localSheetId="5">11</definedName>
    <definedName name="QBREPORTSUBCOLAXIS" localSheetId="6">0</definedName>
    <definedName name="QBREPORTSUBCOLAXIS" localSheetId="9">0</definedName>
    <definedName name="QBREPORTSUBCOLAXIS" localSheetId="4">24</definedName>
    <definedName name="QBREPORTSUBCOLAXIS" localSheetId="5">24</definedName>
    <definedName name="QBREPORTTYPE" localSheetId="6">83</definedName>
    <definedName name="QBREPORTTYPE" localSheetId="9">5</definedName>
    <definedName name="QBREPORTTYPE" localSheetId="4">6</definedName>
    <definedName name="QBREPORTTYPE" localSheetId="5">1</definedName>
    <definedName name="QBROWHEADERS" localSheetId="6">4</definedName>
    <definedName name="QBROWHEADERS" localSheetId="9">6</definedName>
    <definedName name="QBROWHEADERS" localSheetId="4">8</definedName>
    <definedName name="QBROWHEADERS" localSheetId="5">6</definedName>
    <definedName name="QBROWHEADERS_1" localSheetId="5">7</definedName>
    <definedName name="QBSTARTDATE" localSheetId="6">20210701</definedName>
    <definedName name="QBSTARTDATE" localSheetId="9">20160701</definedName>
    <definedName name="QBSTARTDATE" localSheetId="4">20210630</definedName>
    <definedName name="QBSTARTDATE" localSheetId="5">20200701</definedName>
    <definedName name="QBSTARTDATE_1" localSheetId="4">20210701</definedName>
    <definedName name="QBSTARTDATE_1" localSheetId="5">20210701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7" i="15" l="1"/>
  <c r="H44" i="15" l="1"/>
  <c r="G44" i="15"/>
  <c r="I34" i="15" l="1"/>
  <c r="I44" i="15"/>
  <c r="J47" i="31"/>
  <c r="I47" i="31"/>
  <c r="I157" i="26" l="1"/>
  <c r="I156" i="26"/>
  <c r="J4" i="26"/>
  <c r="J5" i="26" s="1"/>
  <c r="J6" i="26" s="1"/>
  <c r="J7" i="26" s="1"/>
  <c r="J8" i="26" s="1"/>
  <c r="J9" i="26" s="1"/>
  <c r="J10" i="26" s="1"/>
  <c r="J11" i="26" s="1"/>
  <c r="J12" i="26" s="1"/>
  <c r="J13" i="26" s="1"/>
  <c r="I13" i="26"/>
  <c r="J15" i="26"/>
  <c r="J16" i="26" s="1"/>
  <c r="J17" i="26" s="1"/>
  <c r="J18" i="26" s="1"/>
  <c r="J19" i="26" s="1"/>
  <c r="J20" i="26" s="1"/>
  <c r="J21" i="26" s="1"/>
  <c r="J22" i="26" s="1"/>
  <c r="J23" i="26" s="1"/>
  <c r="J24" i="26" s="1"/>
  <c r="J25" i="26" s="1"/>
  <c r="I25" i="26"/>
  <c r="J27" i="26"/>
  <c r="J28" i="26" s="1"/>
  <c r="J29" i="26" s="1"/>
  <c r="J30" i="26" s="1"/>
  <c r="J31" i="26" s="1"/>
  <c r="J32" i="26" s="1"/>
  <c r="J33" i="26" s="1"/>
  <c r="J36" i="26"/>
  <c r="J37" i="26" s="1"/>
  <c r="J38" i="26" s="1"/>
  <c r="J39" i="26" s="1"/>
  <c r="J40" i="26" s="1"/>
  <c r="J41" i="26" s="1"/>
  <c r="J42" i="26" s="1"/>
  <c r="J43" i="26" s="1"/>
  <c r="J44" i="26" s="1"/>
  <c r="J45" i="26" s="1"/>
  <c r="J46" i="26" s="1"/>
  <c r="J47" i="26" s="1"/>
  <c r="I47" i="26"/>
  <c r="J49" i="26"/>
  <c r="J50" i="26" s="1"/>
  <c r="J51" i="26" s="1"/>
  <c r="J52" i="26" s="1"/>
  <c r="J53" i="26" s="1"/>
  <c r="J54" i="26" s="1"/>
  <c r="J55" i="26" s="1"/>
  <c r="J56" i="26" s="1"/>
  <c r="J57" i="26" s="1"/>
  <c r="J58" i="26" s="1"/>
  <c r="J59" i="26" s="1"/>
  <c r="J60" i="26" s="1"/>
  <c r="I60" i="26"/>
  <c r="J62" i="26"/>
  <c r="J63" i="26" s="1"/>
  <c r="J64" i="26" s="1"/>
  <c r="J65" i="26" s="1"/>
  <c r="J66" i="26" s="1"/>
  <c r="J67" i="26" s="1"/>
  <c r="J68" i="26" s="1"/>
  <c r="J69" i="26" s="1"/>
  <c r="J70" i="26" s="1"/>
  <c r="J71" i="26" s="1"/>
  <c r="I71" i="26"/>
  <c r="J73" i="26"/>
  <c r="J74" i="26" s="1"/>
  <c r="I74" i="26"/>
  <c r="J76" i="26"/>
  <c r="J77" i="26" s="1"/>
  <c r="J78" i="26" s="1"/>
  <c r="J79" i="26" s="1"/>
  <c r="J80" i="26" s="1"/>
  <c r="J81" i="26" s="1"/>
  <c r="J82" i="26" s="1"/>
  <c r="I82" i="26"/>
  <c r="J84" i="26"/>
  <c r="J85" i="26" s="1"/>
  <c r="J86" i="26" s="1"/>
  <c r="J87" i="26" s="1"/>
  <c r="J88" i="26" s="1"/>
  <c r="J89" i="26" s="1"/>
  <c r="J90" i="26" s="1"/>
  <c r="J91" i="26" s="1"/>
  <c r="J92" i="26" s="1"/>
  <c r="J93" i="26" s="1"/>
  <c r="I93" i="26"/>
  <c r="J96" i="26"/>
  <c r="J97" i="26" s="1"/>
  <c r="J98" i="26" s="1"/>
  <c r="J99" i="26" s="1"/>
  <c r="J100" i="26" s="1"/>
  <c r="J101" i="26" s="1"/>
  <c r="J102" i="26" s="1"/>
  <c r="J103" i="26" s="1"/>
  <c r="J104" i="26" s="1"/>
  <c r="J105" i="26" s="1"/>
  <c r="J106" i="26" s="1"/>
  <c r="J107" i="26" s="1"/>
  <c r="I107" i="26"/>
  <c r="J109" i="26"/>
  <c r="J110" i="26" s="1"/>
  <c r="I110" i="26"/>
  <c r="J113" i="26"/>
  <c r="J114" i="26" s="1"/>
  <c r="J115" i="26" s="1"/>
  <c r="J116" i="26" s="1"/>
  <c r="J117" i="26" s="1"/>
  <c r="J118" i="26" s="1"/>
  <c r="J119" i="26" s="1"/>
  <c r="I119" i="26"/>
  <c r="J121" i="26"/>
  <c r="J122" i="26" s="1"/>
  <c r="J123" i="26" s="1"/>
  <c r="J124" i="26" s="1"/>
  <c r="I124" i="26"/>
  <c r="J126" i="26"/>
  <c r="J127" i="26" s="1"/>
  <c r="J128" i="26" s="1"/>
  <c r="J129" i="26" s="1"/>
  <c r="J130" i="26" s="1"/>
  <c r="J131" i="26" s="1"/>
  <c r="J132" i="26" s="1"/>
  <c r="J133" i="26" s="1"/>
  <c r="I133" i="26"/>
  <c r="J135" i="26"/>
  <c r="J136" i="26" s="1"/>
  <c r="J137" i="26" s="1"/>
  <c r="J138" i="26" s="1"/>
  <c r="J139" i="26" s="1"/>
  <c r="J140" i="26" s="1"/>
  <c r="J141" i="26" s="1"/>
  <c r="J142" i="26" s="1"/>
  <c r="J143" i="26" s="1"/>
  <c r="J144" i="26" s="1"/>
  <c r="J145" i="26" s="1"/>
  <c r="J146" i="26" s="1"/>
  <c r="J147" i="26" s="1"/>
  <c r="J150" i="26"/>
  <c r="J151" i="26" s="1"/>
  <c r="I151" i="26"/>
  <c r="G8" i="23"/>
  <c r="G9" i="23"/>
  <c r="G10" i="23"/>
  <c r="G11" i="23"/>
  <c r="G12" i="23"/>
  <c r="E13" i="23"/>
  <c r="G13" i="23" s="1"/>
  <c r="F13" i="23"/>
  <c r="G15" i="23"/>
  <c r="E16" i="23"/>
  <c r="G16" i="23" s="1"/>
  <c r="F16" i="23"/>
  <c r="G20" i="23"/>
  <c r="G21" i="23"/>
  <c r="E22" i="23"/>
  <c r="G22" i="23" s="1"/>
  <c r="F22" i="23"/>
  <c r="E23" i="23"/>
  <c r="G23" i="23" s="1"/>
  <c r="F23" i="23"/>
  <c r="F24" i="23" s="1"/>
  <c r="G28" i="23"/>
  <c r="G29" i="23"/>
  <c r="E30" i="23"/>
  <c r="F30" i="23"/>
  <c r="G30" i="23"/>
  <c r="G39" i="23"/>
  <c r="E40" i="23"/>
  <c r="G40" i="23" s="1"/>
  <c r="F40" i="23"/>
  <c r="F42" i="23" s="1"/>
  <c r="F43" i="23" s="1"/>
  <c r="F68" i="23" s="1"/>
  <c r="F76" i="23" s="1"/>
  <c r="F82" i="23" s="1"/>
  <c r="G41" i="23"/>
  <c r="G45" i="23"/>
  <c r="G47" i="23"/>
  <c r="G48" i="23"/>
  <c r="E49" i="23"/>
  <c r="G49" i="23" s="1"/>
  <c r="F49" i="23"/>
  <c r="G51" i="23"/>
  <c r="E52" i="23"/>
  <c r="G52" i="23" s="1"/>
  <c r="F52" i="23"/>
  <c r="G54" i="23"/>
  <c r="G55" i="23"/>
  <c r="G56" i="23"/>
  <c r="G57" i="23"/>
  <c r="G58" i="23"/>
  <c r="G59" i="23"/>
  <c r="G60" i="23"/>
  <c r="G61" i="23"/>
  <c r="G62" i="23"/>
  <c r="G63" i="23"/>
  <c r="G64" i="23"/>
  <c r="G65" i="23"/>
  <c r="E66" i="23"/>
  <c r="G66" i="23" s="1"/>
  <c r="F66" i="23"/>
  <c r="F67" i="23" s="1"/>
  <c r="G72" i="23"/>
  <c r="E73" i="23"/>
  <c r="F73" i="23"/>
  <c r="F74" i="23" s="1"/>
  <c r="F75" i="23" s="1"/>
  <c r="G73" i="23"/>
  <c r="E74" i="23"/>
  <c r="G78" i="23"/>
  <c r="G79" i="23"/>
  <c r="G80" i="23"/>
  <c r="E81" i="23"/>
  <c r="G81" i="23" s="1"/>
  <c r="F81" i="23"/>
  <c r="D173" i="22"/>
  <c r="E173" i="22"/>
  <c r="F6" i="22"/>
  <c r="F7" i="22"/>
  <c r="D8" i="22"/>
  <c r="F8" i="22" s="1"/>
  <c r="E8" i="22"/>
  <c r="F10" i="22"/>
  <c r="F11" i="22"/>
  <c r="F12" i="22"/>
  <c r="F13" i="22"/>
  <c r="F14" i="22"/>
  <c r="F15" i="22"/>
  <c r="D16" i="22"/>
  <c r="F16" i="22" s="1"/>
  <c r="E16" i="22"/>
  <c r="E46" i="22" s="1"/>
  <c r="E49" i="22" s="1"/>
  <c r="E50" i="22" s="1"/>
  <c r="F18" i="22"/>
  <c r="F19" i="22"/>
  <c r="F20" i="22"/>
  <c r="D21" i="22"/>
  <c r="F21" i="22" s="1"/>
  <c r="E21" i="22"/>
  <c r="F23" i="22"/>
  <c r="F24" i="22"/>
  <c r="F25" i="22"/>
  <c r="F26" i="22"/>
  <c r="F27" i="22"/>
  <c r="F28" i="22"/>
  <c r="F29" i="22"/>
  <c r="F30" i="22"/>
  <c r="F31" i="22"/>
  <c r="F32" i="22"/>
  <c r="F33" i="22"/>
  <c r="F34" i="22"/>
  <c r="F35" i="22"/>
  <c r="F36" i="22"/>
  <c r="D37" i="22"/>
  <c r="E37" i="22"/>
  <c r="F37" i="22" s="1"/>
  <c r="F39" i="22"/>
  <c r="F40" i="22"/>
  <c r="F41" i="22"/>
  <c r="F42" i="22"/>
  <c r="D43" i="22"/>
  <c r="F43" i="22" s="1"/>
  <c r="E43" i="22"/>
  <c r="F44" i="22"/>
  <c r="F45" i="22"/>
  <c r="F47" i="22"/>
  <c r="F48" i="22"/>
  <c r="F54" i="22"/>
  <c r="F55" i="22"/>
  <c r="D56" i="22"/>
  <c r="F56" i="22" s="1"/>
  <c r="E56" i="22"/>
  <c r="F58" i="22"/>
  <c r="F59" i="22"/>
  <c r="D60" i="22"/>
  <c r="F60" i="22" s="1"/>
  <c r="E60" i="22"/>
  <c r="F61" i="22"/>
  <c r="F63" i="22"/>
  <c r="F64" i="22"/>
  <c r="F65" i="22"/>
  <c r="F66" i="22"/>
  <c r="F67" i="22"/>
  <c r="F68" i="22"/>
  <c r="F70" i="22"/>
  <c r="F71" i="22"/>
  <c r="D72" i="22"/>
  <c r="D78" i="22" s="1"/>
  <c r="F78" i="22" s="1"/>
  <c r="E72" i="22"/>
  <c r="F74" i="22"/>
  <c r="F75" i="22"/>
  <c r="D76" i="22"/>
  <c r="F76" i="22" s="1"/>
  <c r="E76" i="22"/>
  <c r="E78" i="22" s="1"/>
  <c r="F77" i="22"/>
  <c r="F79" i="22"/>
  <c r="F81" i="22"/>
  <c r="F82" i="22"/>
  <c r="F83" i="22"/>
  <c r="F84" i="22"/>
  <c r="F85" i="22"/>
  <c r="F86" i="22"/>
  <c r="F87" i="22"/>
  <c r="F88" i="22"/>
  <c r="F89" i="22"/>
  <c r="F90" i="22"/>
  <c r="F91" i="22"/>
  <c r="F92" i="22"/>
  <c r="F93" i="22"/>
  <c r="F94" i="22"/>
  <c r="D95" i="22"/>
  <c r="E95" i="22"/>
  <c r="F95" i="22"/>
  <c r="F97" i="22"/>
  <c r="F98" i="22"/>
  <c r="F99" i="22"/>
  <c r="D100" i="22"/>
  <c r="F100" i="22" s="1"/>
  <c r="E100" i="22"/>
  <c r="F101" i="22"/>
  <c r="F103" i="22"/>
  <c r="F104" i="22"/>
  <c r="F105" i="22"/>
  <c r="F106" i="22"/>
  <c r="D107" i="22"/>
  <c r="F107" i="22" s="1"/>
  <c r="E107" i="22"/>
  <c r="F109" i="22"/>
  <c r="F110" i="22"/>
  <c r="F111" i="22"/>
  <c r="F112" i="22"/>
  <c r="F113" i="22"/>
  <c r="F114" i="22"/>
  <c r="F115" i="22"/>
  <c r="D116" i="22"/>
  <c r="E116" i="22"/>
  <c r="F116" i="22"/>
  <c r="F118" i="22"/>
  <c r="F119" i="22"/>
  <c r="F120" i="22"/>
  <c r="F121" i="22"/>
  <c r="F122" i="22"/>
  <c r="F123" i="22"/>
  <c r="D124" i="22"/>
  <c r="F124" i="22" s="1"/>
  <c r="E124" i="22"/>
  <c r="E161" i="22" s="1"/>
  <c r="F126" i="22"/>
  <c r="F127" i="22"/>
  <c r="F128" i="22"/>
  <c r="F129" i="22"/>
  <c r="D130" i="22"/>
  <c r="E130" i="22"/>
  <c r="F130" i="22"/>
  <c r="F132" i="22"/>
  <c r="F133" i="22"/>
  <c r="F134" i="22"/>
  <c r="F135" i="22"/>
  <c r="F136" i="22"/>
  <c r="D137" i="22"/>
  <c r="E137" i="22"/>
  <c r="F137" i="22"/>
  <c r="F139" i="22"/>
  <c r="F140" i="22"/>
  <c r="D141" i="22"/>
  <c r="F141" i="22" s="1"/>
  <c r="E141" i="22"/>
  <c r="F143" i="22"/>
  <c r="F144" i="22"/>
  <c r="D145" i="22"/>
  <c r="F145" i="22" s="1"/>
  <c r="E145" i="22"/>
  <c r="F147" i="22"/>
  <c r="F148" i="22"/>
  <c r="D149" i="22"/>
  <c r="F149" i="22" s="1"/>
  <c r="E149" i="22"/>
  <c r="F151" i="22"/>
  <c r="F152" i="22"/>
  <c r="F153" i="22"/>
  <c r="D154" i="22"/>
  <c r="F154" i="22" s="1"/>
  <c r="E154" i="22"/>
  <c r="F156" i="22"/>
  <c r="F157" i="22"/>
  <c r="D158" i="22"/>
  <c r="F158" i="22" s="1"/>
  <c r="E158" i="22"/>
  <c r="F159" i="22"/>
  <c r="F160" i="22"/>
  <c r="F164" i="22"/>
  <c r="D165" i="22"/>
  <c r="E165" i="22"/>
  <c r="E166" i="22" s="1"/>
  <c r="F165" i="22"/>
  <c r="D166" i="22"/>
  <c r="F168" i="22"/>
  <c r="D169" i="22"/>
  <c r="F169" i="22" s="1"/>
  <c r="E169" i="22"/>
  <c r="E86" i="15" l="1"/>
  <c r="G66" i="15"/>
  <c r="I8" i="15"/>
  <c r="G12" i="15"/>
  <c r="G18" i="15" s="1"/>
  <c r="I48" i="31" s="1"/>
  <c r="I111" i="26"/>
  <c r="I152" i="26" s="1"/>
  <c r="I153" i="26" s="1"/>
  <c r="J111" i="26"/>
  <c r="J152" i="26" s="1"/>
  <c r="J153" i="26" s="1"/>
  <c r="G74" i="23"/>
  <c r="F25" i="23"/>
  <c r="F26" i="23" s="1"/>
  <c r="F31" i="23" s="1"/>
  <c r="F32" i="23" s="1"/>
  <c r="E42" i="23"/>
  <c r="E67" i="23"/>
  <c r="E24" i="23"/>
  <c r="G24" i="23" s="1"/>
  <c r="E75" i="23"/>
  <c r="G75" i="23" s="1"/>
  <c r="F166" i="22"/>
  <c r="E170" i="22"/>
  <c r="E171" i="22" s="1"/>
  <c r="D161" i="22"/>
  <c r="F72" i="22"/>
  <c r="D46" i="22"/>
  <c r="G67" i="23" l="1"/>
  <c r="E43" i="23"/>
  <c r="G42" i="23"/>
  <c r="E25" i="23"/>
  <c r="F46" i="22"/>
  <c r="D49" i="22"/>
  <c r="F161" i="22"/>
  <c r="D170" i="22"/>
  <c r="F170" i="22" s="1"/>
  <c r="E26" i="23" l="1"/>
  <c r="G25" i="23"/>
  <c r="E68" i="23"/>
  <c r="G43" i="23"/>
  <c r="F49" i="22"/>
  <c r="D50" i="22"/>
  <c r="G37" i="15"/>
  <c r="I15" i="15"/>
  <c r="G68" i="23" l="1"/>
  <c r="E76" i="23"/>
  <c r="E31" i="23"/>
  <c r="G26" i="23"/>
  <c r="F50" i="22"/>
  <c r="D171" i="22"/>
  <c r="F171" i="22" s="1"/>
  <c r="G31" i="23" l="1"/>
  <c r="E32" i="23"/>
  <c r="G32" i="23" s="1"/>
  <c r="G76" i="23"/>
  <c r="E82" i="23"/>
  <c r="H258" i="17"/>
  <c r="L258" i="17"/>
  <c r="L259" i="17" s="1"/>
  <c r="K258" i="17"/>
  <c r="K259" i="17" s="1"/>
  <c r="L255" i="17"/>
  <c r="K255" i="17"/>
  <c r="L254" i="17"/>
  <c r="L256" i="17" s="1"/>
  <c r="K254" i="17"/>
  <c r="L78" i="17"/>
  <c r="K78" i="17"/>
  <c r="E91" i="15" l="1"/>
  <c r="E93" i="15" s="1"/>
  <c r="I41" i="30"/>
  <c r="G82" i="23"/>
  <c r="K256" i="17"/>
  <c r="I22" i="15"/>
  <c r="I7" i="15"/>
  <c r="I9" i="15"/>
  <c r="E104" i="15"/>
  <c r="H77" i="15"/>
  <c r="G49" i="15" s="1"/>
  <c r="I42" i="15"/>
  <c r="I30" i="15"/>
  <c r="I23" i="15"/>
  <c r="E103" i="10"/>
  <c r="E99" i="10"/>
  <c r="E104" i="10"/>
  <c r="E98" i="10"/>
  <c r="G78" i="10"/>
  <c r="G77" i="10"/>
  <c r="E87" i="10" s="1"/>
  <c r="F59" i="10"/>
  <c r="F69" i="10"/>
  <c r="F70" i="10"/>
  <c r="F68" i="10"/>
  <c r="F58" i="10"/>
  <c r="G34" i="10"/>
  <c r="G23" i="10"/>
  <c r="G33" i="10"/>
  <c r="G32" i="10"/>
  <c r="G31" i="10"/>
  <c r="G30" i="10"/>
  <c r="G29" i="10"/>
  <c r="G28" i="10"/>
  <c r="G27" i="10"/>
  <c r="G26" i="10"/>
  <c r="G25" i="10"/>
  <c r="G24" i="10"/>
  <c r="G22" i="10"/>
  <c r="G21" i="10"/>
  <c r="G20" i="10"/>
  <c r="G15" i="10"/>
  <c r="H15" i="10"/>
  <c r="G10" i="10"/>
  <c r="H9" i="10"/>
  <c r="G9" i="10"/>
  <c r="G8" i="10"/>
  <c r="G7" i="10"/>
  <c r="J41" i="30" l="1"/>
  <c r="L38" i="10"/>
  <c r="F67" i="10"/>
  <c r="G72" i="10" s="1"/>
  <c r="I27" i="15"/>
  <c r="I21" i="15"/>
  <c r="I26" i="15"/>
  <c r="I28" i="15"/>
  <c r="I29" i="15"/>
  <c r="I33" i="15"/>
  <c r="I32" i="15"/>
  <c r="E99" i="15"/>
  <c r="E106" i="15" s="1"/>
  <c r="E100" i="10"/>
  <c r="E94" i="15"/>
  <c r="I10" i="15"/>
  <c r="I12" i="15" s="1"/>
  <c r="I16" i="15"/>
  <c r="I24" i="15"/>
  <c r="I35" i="15"/>
  <c r="I31" i="15"/>
  <c r="H37" i="15"/>
  <c r="I25" i="15"/>
  <c r="H12" i="15"/>
  <c r="H18" i="15" s="1"/>
  <c r="J48" i="31" s="1"/>
  <c r="I18" i="15" l="1"/>
  <c r="G39" i="15"/>
  <c r="I37" i="15"/>
  <c r="H39" i="15"/>
  <c r="I39" i="15" l="1"/>
  <c r="F51" i="15"/>
  <c r="G56" i="15" s="1"/>
  <c r="N38" i="10"/>
  <c r="H12" i="10"/>
  <c r="H17" i="10" s="1"/>
  <c r="I48" i="10"/>
  <c r="H44" i="10"/>
  <c r="I44" i="10" s="1"/>
  <c r="H43" i="10"/>
  <c r="I43" i="10" s="1"/>
  <c r="H42" i="10"/>
  <c r="I42" i="10" s="1"/>
  <c r="H41" i="10"/>
  <c r="A54" i="10"/>
  <c r="E91" i="10"/>
  <c r="E92" i="10" s="1"/>
  <c r="H80" i="10"/>
  <c r="G80" i="10"/>
  <c r="G46" i="10"/>
  <c r="G50" i="10" s="1"/>
  <c r="I45" i="10"/>
  <c r="I41" i="10"/>
  <c r="I34" i="10"/>
  <c r="I33" i="10"/>
  <c r="I32" i="10"/>
  <c r="I31" i="10"/>
  <c r="I30" i="10"/>
  <c r="I29" i="10"/>
  <c r="I27" i="10"/>
  <c r="I26" i="10"/>
  <c r="I25" i="10"/>
  <c r="I24" i="10"/>
  <c r="I23" i="10"/>
  <c r="I22" i="10"/>
  <c r="I20" i="10"/>
  <c r="I15" i="10"/>
  <c r="I10" i="10"/>
  <c r="I9" i="10"/>
  <c r="I8" i="10"/>
  <c r="G57" i="15" l="1"/>
  <c r="G67" i="15" s="1"/>
  <c r="H46" i="10"/>
  <c r="H50" i="10"/>
  <c r="I46" i="10"/>
  <c r="I50" i="10" s="1"/>
  <c r="I28" i="10"/>
  <c r="I7" i="10"/>
  <c r="I12" i="10" s="1"/>
  <c r="I17" i="10" s="1"/>
  <c r="G12" i="10"/>
  <c r="G17" i="10" s="1"/>
  <c r="E88" i="10"/>
  <c r="E94" i="10" s="1"/>
  <c r="E95" i="10" s="1"/>
  <c r="G36" i="10"/>
  <c r="E105" i="10" l="1"/>
  <c r="E107" i="10" s="1"/>
  <c r="F107" i="10" s="1"/>
  <c r="G38" i="10"/>
  <c r="N38" i="2"/>
  <c r="H34" i="2"/>
  <c r="H33" i="2"/>
  <c r="H25" i="2"/>
  <c r="H24" i="2"/>
  <c r="H22" i="2"/>
  <c r="H20" i="2"/>
  <c r="H9" i="2"/>
  <c r="H28" i="2"/>
  <c r="H32" i="2"/>
  <c r="H30" i="2"/>
  <c r="H29" i="2"/>
  <c r="H27" i="2"/>
  <c r="H23" i="2"/>
  <c r="H21" i="2"/>
  <c r="H15" i="2"/>
  <c r="H10" i="2"/>
  <c r="E102" i="2"/>
  <c r="H78" i="2"/>
  <c r="G78" i="2"/>
  <c r="E91" i="2" s="1"/>
  <c r="H77" i="2"/>
  <c r="F69" i="2"/>
  <c r="H8" i="2" l="1"/>
  <c r="H26" i="2"/>
  <c r="H7" i="2"/>
  <c r="H31" i="2"/>
  <c r="G55" i="10"/>
  <c r="G55" i="2"/>
  <c r="F57" i="10"/>
  <c r="K38" i="10"/>
  <c r="G77" i="2"/>
  <c r="E87" i="2" s="1"/>
  <c r="G62" i="10" l="1"/>
  <c r="G63" i="10" s="1"/>
  <c r="G73" i="10" s="1"/>
  <c r="E98" i="2"/>
  <c r="K73" i="10" l="1"/>
  <c r="F67" i="2"/>
  <c r="F59" i="2"/>
  <c r="F58" i="2"/>
  <c r="L38" i="2" s="1"/>
  <c r="G38" i="5"/>
  <c r="G30" i="5"/>
  <c r="G31" i="5" s="1"/>
  <c r="G32" i="5" s="1"/>
  <c r="G33" i="5" s="1"/>
  <c r="G39" i="5" s="1"/>
  <c r="G19" i="5"/>
  <c r="G15" i="5"/>
  <c r="G11" i="5"/>
  <c r="G12" i="5" s="1"/>
  <c r="G16" i="5" s="1"/>
  <c r="G20" i="5" l="1"/>
  <c r="G21" i="5" s="1"/>
  <c r="H10" i="4"/>
  <c r="F10" i="4"/>
  <c r="D10" i="4"/>
  <c r="H9" i="4"/>
  <c r="F9" i="4"/>
  <c r="F11" i="4" s="1"/>
  <c r="F26" i="4" s="1"/>
  <c r="F35" i="4" s="1"/>
  <c r="F36" i="4" s="1"/>
  <c r="D9" i="4"/>
  <c r="A3" i="4"/>
  <c r="A2" i="4"/>
  <c r="H11" i="4" l="1"/>
  <c r="H39" i="4" s="1"/>
  <c r="H48" i="4" s="1"/>
  <c r="D11" i="4"/>
  <c r="D39" i="4" s="1"/>
  <c r="D48" i="4" s="1"/>
  <c r="F39" i="4"/>
  <c r="F48" i="4" s="1"/>
  <c r="F50" i="4" s="1"/>
  <c r="H23" i="4" s="1"/>
  <c r="H26" i="4" l="1"/>
  <c r="H35" i="4" s="1"/>
  <c r="H36" i="4" s="1"/>
  <c r="H50" i="4" s="1"/>
  <c r="D26" i="4"/>
  <c r="D35" i="4" s="1"/>
  <c r="D36" i="4" s="1"/>
  <c r="D50" i="4" s="1"/>
  <c r="G34" i="2"/>
  <c r="G33" i="2"/>
  <c r="I33" i="2" s="1"/>
  <c r="G25" i="2"/>
  <c r="I25" i="2" s="1"/>
  <c r="G24" i="2"/>
  <c r="I24" i="2" s="1"/>
  <c r="G22" i="2"/>
  <c r="I22" i="2" s="1"/>
  <c r="G20" i="2"/>
  <c r="I20" i="2" s="1"/>
  <c r="G9" i="2"/>
  <c r="G28" i="2"/>
  <c r="I28" i="2" s="1"/>
  <c r="G31" i="2"/>
  <c r="G30" i="2"/>
  <c r="I30" i="2" s="1"/>
  <c r="G29" i="2"/>
  <c r="G27" i="2"/>
  <c r="I27" i="2" s="1"/>
  <c r="G23" i="2"/>
  <c r="I23" i="2" s="1"/>
  <c r="G10" i="2"/>
  <c r="I10" i="2" s="1"/>
  <c r="G7" i="2"/>
  <c r="E92" i="2"/>
  <c r="E88" i="2"/>
  <c r="H80" i="2"/>
  <c r="G80" i="2"/>
  <c r="G72" i="2"/>
  <c r="I48" i="2"/>
  <c r="H46" i="2"/>
  <c r="H50" i="2" s="1"/>
  <c r="G46" i="2"/>
  <c r="G50" i="2" s="1"/>
  <c r="I45" i="2"/>
  <c r="I44" i="2"/>
  <c r="I43" i="2"/>
  <c r="I42" i="2"/>
  <c r="I41" i="2"/>
  <c r="I34" i="2"/>
  <c r="I29" i="2"/>
  <c r="G21" i="2" l="1"/>
  <c r="I21" i="2" s="1"/>
  <c r="G32" i="2"/>
  <c r="G26" i="2"/>
  <c r="I26" i="2" s="1"/>
  <c r="G15" i="2"/>
  <c r="I15" i="2" s="1"/>
  <c r="H21" i="10"/>
  <c r="G8" i="2"/>
  <c r="I8" i="2" s="1"/>
  <c r="I31" i="2"/>
  <c r="E94" i="2"/>
  <c r="E95" i="2" s="1"/>
  <c r="H36" i="2"/>
  <c r="I46" i="2"/>
  <c r="I50" i="2" s="1"/>
  <c r="I32" i="2"/>
  <c r="G12" i="2"/>
  <c r="I9" i="2"/>
  <c r="I7" i="2"/>
  <c r="G36" i="2"/>
  <c r="H12" i="2"/>
  <c r="H17" i="2" s="1"/>
  <c r="G17" i="2" l="1"/>
  <c r="G38" i="2" s="1"/>
  <c r="I21" i="10"/>
  <c r="H36" i="10"/>
  <c r="I12" i="2"/>
  <c r="I17" i="2" s="1"/>
  <c r="I36" i="2"/>
  <c r="H38" i="2"/>
  <c r="M38" i="2" s="1"/>
  <c r="K38" i="2" l="1"/>
  <c r="F57" i="2"/>
  <c r="H38" i="10"/>
  <c r="M38" i="10" s="1"/>
  <c r="I36" i="10"/>
  <c r="I38" i="10" s="1"/>
  <c r="I38" i="2"/>
  <c r="G62" i="2"/>
  <c r="E101" i="2" l="1"/>
  <c r="E103" i="2" s="1"/>
  <c r="E105" i="2" s="1"/>
  <c r="G63" i="2"/>
  <c r="G73" i="2" l="1"/>
  <c r="K7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tc={78535075-9B62-4144-8413-5DC4866E8CDB}</author>
  </authors>
  <commentList>
    <comment ref="E72" authorId="0" shapeId="0" xr:uid="{78535075-9B62-4144-8413-5DC4866E8CD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Included balance in Retained Earnings for reporting - 4Q loan payment not due until July but paid and cleared in June to end loan, invoice date is later than pmt date due to timing of payments</t>
        </r>
      </text>
    </comment>
  </commentList>
</comments>
</file>

<file path=xl/sharedStrings.xml><?xml version="1.0" encoding="utf-8"?>
<sst xmlns="http://schemas.openxmlformats.org/spreadsheetml/2006/main" count="1597" uniqueCount="714">
  <si>
    <t>Sunday and other collections for parish use</t>
  </si>
  <si>
    <t>Tuition Income</t>
  </si>
  <si>
    <t>Religious Education Programs</t>
  </si>
  <si>
    <t>Total Operating Income</t>
  </si>
  <si>
    <t>Diocesan Assessments</t>
  </si>
  <si>
    <t>Salaries, payroll taxes, fringe benefits</t>
  </si>
  <si>
    <t>Property insurance and real estate taxes</t>
  </si>
  <si>
    <t>Pastoral and school administrative expenses</t>
  </si>
  <si>
    <t>Professional fees and contracted services</t>
  </si>
  <si>
    <t>Outside printing and publications</t>
  </si>
  <si>
    <t>Office supplies and equipment</t>
  </si>
  <si>
    <t>Liturgical/altar supplies</t>
  </si>
  <si>
    <t>Instructional material</t>
  </si>
  <si>
    <t>Maintenance of church, school, convent, rectory</t>
  </si>
  <si>
    <t>Utilities of church, school, convent, rectory</t>
  </si>
  <si>
    <t>Interest expense</t>
  </si>
  <si>
    <t>Total Operating Expenses</t>
  </si>
  <si>
    <t>Total Ordinary Income</t>
  </si>
  <si>
    <t>Operating Income:</t>
  </si>
  <si>
    <t>Other Income:</t>
  </si>
  <si>
    <t>Operating Expenses:</t>
  </si>
  <si>
    <t>EXCESS OPERATING INCOME (EXPENSES)</t>
  </si>
  <si>
    <t>Variance</t>
  </si>
  <si>
    <t>Workman's Compensation</t>
  </si>
  <si>
    <t>Balance due on church loan (payments are current)</t>
  </si>
  <si>
    <t>Total debt:</t>
  </si>
  <si>
    <t>Add:</t>
  </si>
  <si>
    <t xml:space="preserve">   Diocesan and Extra-Diocesan Collections</t>
  </si>
  <si>
    <t>Total Additions</t>
  </si>
  <si>
    <t>Total Funds Available</t>
  </si>
  <si>
    <t>Deduct:</t>
  </si>
  <si>
    <t xml:space="preserve">   Diocesan and Extra-Diocesan Collection Remittals</t>
  </si>
  <si>
    <t xml:space="preserve">   Repayment of loans (principal only)</t>
  </si>
  <si>
    <t>Total Deductions</t>
  </si>
  <si>
    <t>Cash and Investment Summary</t>
  </si>
  <si>
    <t>Petty Cash</t>
  </si>
  <si>
    <t>Cash Checking Accounts</t>
  </si>
  <si>
    <t>Gift Certificate Inventory</t>
  </si>
  <si>
    <t>Total Cash and Investments</t>
  </si>
  <si>
    <t>Socials and Donations net</t>
  </si>
  <si>
    <t xml:space="preserve">                                                                                St. Catherine of Siena</t>
  </si>
  <si>
    <t xml:space="preserve">                                                       Statement of Operating Income and Expenses</t>
  </si>
  <si>
    <t xml:space="preserve">                                                        Statement of Total Receipts and Expenditures</t>
  </si>
  <si>
    <t xml:space="preserve">   Excess Operating Expenses</t>
  </si>
  <si>
    <t>St. Catherine of Siena</t>
  </si>
  <si>
    <t xml:space="preserve">                       Balance Sheet</t>
  </si>
  <si>
    <t>ASSETS</t>
  </si>
  <si>
    <t xml:space="preserve">   Current Assests</t>
  </si>
  <si>
    <t xml:space="preserve">      Cash in bank</t>
  </si>
  <si>
    <t xml:space="preserve">       Total Checking/Savings</t>
  </si>
  <si>
    <t xml:space="preserve">   Other Current Assets</t>
  </si>
  <si>
    <t xml:space="preserve">        Gift Certificate Inventory</t>
  </si>
  <si>
    <t>TOTAL ASSETS</t>
  </si>
  <si>
    <t>LIABILITIES &amp; EQUITY</t>
  </si>
  <si>
    <t xml:space="preserve">   Equity</t>
  </si>
  <si>
    <t xml:space="preserve">      Retained Earnings</t>
  </si>
  <si>
    <t xml:space="preserve">      Net Income</t>
  </si>
  <si>
    <t xml:space="preserve">   Total Equity</t>
  </si>
  <si>
    <t>TOTAL LIABILITIES &amp; EQUITY</t>
  </si>
  <si>
    <t xml:space="preserve">   Total Other Current Assets</t>
  </si>
  <si>
    <t>Total  Current Assets</t>
  </si>
  <si>
    <t>Subsidy payment to Our Lady of Mercy Regional School</t>
  </si>
  <si>
    <t>Debt Summary</t>
  </si>
  <si>
    <t xml:space="preserve">   Excess operating Income</t>
  </si>
  <si>
    <t xml:space="preserve">   Legacies and Bequests</t>
  </si>
  <si>
    <t>Cares Program, Bulletin, Interest, etc.</t>
  </si>
  <si>
    <t xml:space="preserve">   Insurance Proceeds</t>
  </si>
  <si>
    <t xml:space="preserve">   Additions to Property and Equipment</t>
  </si>
  <si>
    <t xml:space="preserve">   Other Expenditures</t>
  </si>
  <si>
    <t xml:space="preserve">Property and Liability Insurance  </t>
  </si>
  <si>
    <t xml:space="preserve">Diocesan Assessments  </t>
  </si>
  <si>
    <t xml:space="preserve">                                                              For the Fiscal Year Ended June 30, 2017</t>
  </si>
  <si>
    <t>FY2016-2017</t>
  </si>
  <si>
    <t>FY2015-2016</t>
  </si>
  <si>
    <t>Jul '16 - Jun 17</t>
  </si>
  <si>
    <t>Income</t>
  </si>
  <si>
    <t>41000 Total Church Op Income</t>
  </si>
  <si>
    <t>41110 Sunday Collections</t>
  </si>
  <si>
    <t>1110 · 1110.1unday Collections</t>
  </si>
  <si>
    <t>Total 41110 Sunday Collections</t>
  </si>
  <si>
    <t>41120 Other Collections</t>
  </si>
  <si>
    <t>1120.3 Easter</t>
  </si>
  <si>
    <t>1120.4 Holy days</t>
  </si>
  <si>
    <t>1120.5 Shrines</t>
  </si>
  <si>
    <t>1120.7 Christmas</t>
  </si>
  <si>
    <t>1120.8 Altar and Sacristy Fund</t>
  </si>
  <si>
    <t>1120.9 Misc.</t>
  </si>
  <si>
    <t>Total 41120 Other Collections</t>
  </si>
  <si>
    <t>41125 Stole Fees</t>
  </si>
  <si>
    <t>1125.2 Funeral</t>
  </si>
  <si>
    <t>1125.3 Baptism</t>
  </si>
  <si>
    <t>1125.4 Wedding</t>
  </si>
  <si>
    <t>Total 41125 Stole Fees</t>
  </si>
  <si>
    <t>41130 Socials &amp; Donations, net</t>
  </si>
  <si>
    <t>1130.10 Night at the Races</t>
  </si>
  <si>
    <t>1130.14 Designer Bag Bingo #4</t>
  </si>
  <si>
    <t>1130.15 Special Projects</t>
  </si>
  <si>
    <t>1130.16  Fuel and Heat</t>
  </si>
  <si>
    <t>1130.2 CPR classes</t>
  </si>
  <si>
    <t>1130.6 50/50</t>
  </si>
  <si>
    <t>1130.9 Misc. donations</t>
  </si>
  <si>
    <t>Total 41130 Socials &amp; Donations, net</t>
  </si>
  <si>
    <t>41160 Religious Education</t>
  </si>
  <si>
    <t>1160.1 PreCana</t>
  </si>
  <si>
    <t>1160.2 Vacation Bible School</t>
  </si>
  <si>
    <t>1160.4 Confirmation</t>
  </si>
  <si>
    <t>1160.5 Communion</t>
  </si>
  <si>
    <t>1160.6 Rel. Ed. Classes</t>
  </si>
  <si>
    <t>Total 41160 Religious Education</t>
  </si>
  <si>
    <t>41240 Interest and Dividends</t>
  </si>
  <si>
    <t>41370 Bulletin Income</t>
  </si>
  <si>
    <t>Total 41000 Total Church Op Income</t>
  </si>
  <si>
    <t>43000 Total School Op Income</t>
  </si>
  <si>
    <t>43130 Socials &amp; Donations, net</t>
  </si>
  <si>
    <t>43130.8 Script Profit</t>
  </si>
  <si>
    <t>43130.9 Misc.</t>
  </si>
  <si>
    <t>4696 -School Fund. Raising Exp.</t>
  </si>
  <si>
    <t>Total 43130 Socials &amp; Donations, net</t>
  </si>
  <si>
    <t>43140 Tuition Income -Catholic</t>
  </si>
  <si>
    <t>43220 Other School Income/Fees</t>
  </si>
  <si>
    <t>3220.5 Registration</t>
  </si>
  <si>
    <t>Total 43220 Other School Income/Fees</t>
  </si>
  <si>
    <t>Total 43000 Total School Op Income</t>
  </si>
  <si>
    <t>46000 Total Cares Income, Net</t>
  </si>
  <si>
    <t>46110 CARES and DAYCARE Fees</t>
  </si>
  <si>
    <t>46450 Salaries of Lay Employees</t>
  </si>
  <si>
    <t>46599 Cares Payroll Tax/Benefit</t>
  </si>
  <si>
    <t>46510 Parish Sh Social Security</t>
  </si>
  <si>
    <t>46520 P.C.C. Unemployment Fund</t>
  </si>
  <si>
    <t>46535 Disability Insurance</t>
  </si>
  <si>
    <t>46540 -Worker's Comp.</t>
  </si>
  <si>
    <t>Total 46599 Cares Payroll Tax/Benefit</t>
  </si>
  <si>
    <t>Total 46000 Total Cares Income, Net</t>
  </si>
  <si>
    <t>47703 Legacies and Bequests</t>
  </si>
  <si>
    <t>47791 Extraordinary Collections</t>
  </si>
  <si>
    <t>Total Income</t>
  </si>
  <si>
    <t>Expense</t>
  </si>
  <si>
    <t>52000 Total Church Op Expenses</t>
  </si>
  <si>
    <t>52410 Diocesan Assessments</t>
  </si>
  <si>
    <t>52430 Salaries - Clergy/Relig</t>
  </si>
  <si>
    <t>2430.1 Priests' Wages</t>
  </si>
  <si>
    <t>2430.2 Honoraria</t>
  </si>
  <si>
    <t>52430 Salaries - Clergy/Relig - Other</t>
  </si>
  <si>
    <t>Total 52430 Salaries - Clergy/Relig</t>
  </si>
  <si>
    <t>52450 Salaries - Lay Employees</t>
  </si>
  <si>
    <t>52599 P/R Taxes &amp; Fringe Benef.</t>
  </si>
  <si>
    <t>2510 -Parish Social Security</t>
  </si>
  <si>
    <t>2520 -P.C.C Unemployment Fund</t>
  </si>
  <si>
    <t>2530 -Health Benefit Premiums</t>
  </si>
  <si>
    <t>2535 -Disability Insurance</t>
  </si>
  <si>
    <t>2540 -Workers Compensation</t>
  </si>
  <si>
    <t>2550 -Clergy/Relig. Ins. &amp; Pens</t>
  </si>
  <si>
    <t>2560 -L.E.R.P</t>
  </si>
  <si>
    <t>2565 403B Employee Contribution</t>
  </si>
  <si>
    <t>2570 -Other Fringr Benefits</t>
  </si>
  <si>
    <t>Total 52599 P/R Taxes &amp; Fringe Benef.</t>
  </si>
  <si>
    <t>52620 Prop &amp; Liability Ins</t>
  </si>
  <si>
    <t>52630 Pastoral Administration</t>
  </si>
  <si>
    <t>2630.1 telephone</t>
  </si>
  <si>
    <t>2630.3 Liturgical Music</t>
  </si>
  <si>
    <t>2630.4 Envelope Costs</t>
  </si>
  <si>
    <t>2630.5 Priests' expenses</t>
  </si>
  <si>
    <t>2630.7 Youth Ministry</t>
  </si>
  <si>
    <t>2630.8 Vestments, canopy, palls</t>
  </si>
  <si>
    <t>2630 · 2630.9 Misc. Expenses</t>
  </si>
  <si>
    <t>52630 Pastoral Administration - Other</t>
  </si>
  <si>
    <t>Total 52630 Pastoral Administration</t>
  </si>
  <si>
    <t>52632 Prof Fees/Contracted Svcs</t>
  </si>
  <si>
    <t>52634 Outside Print/Publication</t>
  </si>
  <si>
    <t>52636 Office Supplies and Equip</t>
  </si>
  <si>
    <t>2636.1 Copier Costs</t>
  </si>
  <si>
    <t>2636.2 Computer Svcs &amp; Supplies</t>
  </si>
  <si>
    <t>2636.3 Stationary/Supplies</t>
  </si>
  <si>
    <t>52636 Office Supplies and Equip - Other</t>
  </si>
  <si>
    <t>Total 52636 Office Supplies and Equip</t>
  </si>
  <si>
    <t>52638 Liturgical/Altar Supplies</t>
  </si>
  <si>
    <t>2638.1 Candles</t>
  </si>
  <si>
    <t>2638.2 Wine</t>
  </si>
  <si>
    <t>2638.3 Hosts</t>
  </si>
  <si>
    <t>2638.5 Church Flowers</t>
  </si>
  <si>
    <t>52638 Liturgical/Altar Supplies - Other</t>
  </si>
  <si>
    <t>Total 52638 Liturgical/Altar Supplies</t>
  </si>
  <si>
    <t>52650 Religious Ed Programs</t>
  </si>
  <si>
    <t>2650.1 PREP Expenses</t>
  </si>
  <si>
    <t>2650.2 Pre Cana</t>
  </si>
  <si>
    <t>2650.3 RCIA</t>
  </si>
  <si>
    <t>2650.4 Communion</t>
  </si>
  <si>
    <t>2650.5 Confirmation</t>
  </si>
  <si>
    <t>2650.7 Vacation Bibile School</t>
  </si>
  <si>
    <t>52650 Religious Ed Programs - Other</t>
  </si>
  <si>
    <t>Total 52650 Religious Ed Programs</t>
  </si>
  <si>
    <t>2660.1 Food/Supplies</t>
  </si>
  <si>
    <t>2660.2 Furnishings</t>
  </si>
  <si>
    <t>2660.3 Phone</t>
  </si>
  <si>
    <t>52670 Maintenance - Church</t>
  </si>
  <si>
    <t>2670.1 Repairs -Materials</t>
  </si>
  <si>
    <t>2670.2 Repairs Landscape/Snow R</t>
  </si>
  <si>
    <t>2670.3 Service Contracts</t>
  </si>
  <si>
    <t>Total 52670 Maintenance - Church</t>
  </si>
  <si>
    <t>2675.1 Repairs/Supplies</t>
  </si>
  <si>
    <t>2675.2 Landscape/Snow</t>
  </si>
  <si>
    <t>52676 Maintenance - Convent</t>
  </si>
  <si>
    <t>2676.1 Convent Maintenance</t>
  </si>
  <si>
    <t>2676.2 Convent landscape</t>
  </si>
  <si>
    <t>Total 52676 Maintenance - Convent</t>
  </si>
  <si>
    <t>52680 -Utilities - Church</t>
  </si>
  <si>
    <t>2680.1 Electricity</t>
  </si>
  <si>
    <t>Total 52680 -Utilities - Church</t>
  </si>
  <si>
    <t>52685 -Utilities - Rectory</t>
  </si>
  <si>
    <t>2685.1 Electricity</t>
  </si>
  <si>
    <t>2685.3 Water/sewer</t>
  </si>
  <si>
    <t>Total 52685 -Utilities - Rectory</t>
  </si>
  <si>
    <t>52687 -Utilities - Convent</t>
  </si>
  <si>
    <t>2687.1 Electric</t>
  </si>
  <si>
    <t>2687.4 Oil</t>
  </si>
  <si>
    <t>52687 -Utilities - Convent - Other</t>
  </si>
  <si>
    <t>Total 52687 -Utilities - Convent</t>
  </si>
  <si>
    <t>52690 -Interest Expense</t>
  </si>
  <si>
    <t>Total 52000 Total Church Op Expenses</t>
  </si>
  <si>
    <t>54000 Total School Op Expenses</t>
  </si>
  <si>
    <t>54440 -Salaries - Lay Teachers</t>
  </si>
  <si>
    <t>4442 Substitute teachers</t>
  </si>
  <si>
    <t>54440 -Salaries - Lay Teachers - Other</t>
  </si>
  <si>
    <t>Total 54440 -Salaries - Lay Teachers</t>
  </si>
  <si>
    <t>54450 Salaries - Other Lay Empl</t>
  </si>
  <si>
    <t>54599 P/R Taxes - Fringe Bene's</t>
  </si>
  <si>
    <t>54510 -Parish Social Security</t>
  </si>
  <si>
    <t>54520 -P.C.C Unemployment</t>
  </si>
  <si>
    <t>54530 Health Benefit Premiums</t>
  </si>
  <si>
    <t>54540 Worker's Comp. Ins.</t>
  </si>
  <si>
    <t>54560 -L.E.R.P</t>
  </si>
  <si>
    <t>54565 403B Contributions</t>
  </si>
  <si>
    <t>54570 -Other Fringe Benefits</t>
  </si>
  <si>
    <t>Total 54599 P/R Taxes - Fringe Bene's</t>
  </si>
  <si>
    <t>54620 Prop Ins &amp; Real Estat Tx</t>
  </si>
  <si>
    <t>54640 -Admin. &amp; Instructional</t>
  </si>
  <si>
    <t>4640.1 Telephone</t>
  </si>
  <si>
    <t>4640.2 Meals- Lunch/Dinner</t>
  </si>
  <si>
    <t>4640.9 Misc.</t>
  </si>
  <si>
    <t>Total 54640 -Admin. &amp; Instructional</t>
  </si>
  <si>
    <t>54642 Profess. Fees/Contr. Serv</t>
  </si>
  <si>
    <t>54646-Office Supplies &amp; Equip.</t>
  </si>
  <si>
    <t>4646.1 Copier Costs</t>
  </si>
  <si>
    <t>4646.2 Computer Serv &amp; Supplies</t>
  </si>
  <si>
    <t>4646.4 Stationary</t>
  </si>
  <si>
    <t>Total 54646-Office Supplies &amp; Equip.</t>
  </si>
  <si>
    <t>54648 Instructional Material</t>
  </si>
  <si>
    <t>4648.1 Religion Books</t>
  </si>
  <si>
    <t>4648.9 Classroom supplies</t>
  </si>
  <si>
    <t>Total 54648 Instructional Material</t>
  </si>
  <si>
    <t>54670 -Maintenance - School</t>
  </si>
  <si>
    <t>4670.1 Landscape/Snow</t>
  </si>
  <si>
    <t>4670.3 Maintenance Supplies</t>
  </si>
  <si>
    <t>4670.1 Landscape/Snow - Other</t>
  </si>
  <si>
    <t>Total 4670.1 Landscape/Snow</t>
  </si>
  <si>
    <t>4670.2 Cleaning Costs</t>
  </si>
  <si>
    <t>4670.4 Maintenance Services</t>
  </si>
  <si>
    <t>54670 -Maintenance - School - Other</t>
  </si>
  <si>
    <t>Total 54670 -Maintenance - School</t>
  </si>
  <si>
    <t>54680 -Utilities - School</t>
  </si>
  <si>
    <t>54695 -Subsidy to Other Schools</t>
  </si>
  <si>
    <t>Total 54000 Total School Op Expenses</t>
  </si>
  <si>
    <t>57825 Additions Church &amp; Rect</t>
  </si>
  <si>
    <t>7815 -Repayment of Loans</t>
  </si>
  <si>
    <t>Total Expense</t>
  </si>
  <si>
    <t>Net Income</t>
  </si>
  <si>
    <t>Priest auto, health, pension, and ancillary benefits</t>
  </si>
  <si>
    <t>ARCHDIOCESE OF PHILADELPHIA - PARISH OPERATING BUDGET</t>
  </si>
  <si>
    <t>STATEMENT OF TOTAL RECEIPTS AND EXPENDITURES</t>
  </si>
  <si>
    <t>Current Year</t>
  </si>
  <si>
    <t>Next Year</t>
  </si>
  <si>
    <t>Account</t>
  </si>
  <si>
    <t>Number</t>
  </si>
  <si>
    <t>Budgeted</t>
  </si>
  <si>
    <t>Anticipated</t>
  </si>
  <si>
    <r>
      <t>Excess Operating Income (Expenses) - Church</t>
    </r>
    <r>
      <rPr>
        <sz val="10"/>
        <rFont val="CG Times (W1)"/>
        <family val="1"/>
      </rPr>
      <t xml:space="preserve"> ( See page 2 )</t>
    </r>
  </si>
  <si>
    <r>
      <t xml:space="preserve">Excess Operating Income (Expenses) - School </t>
    </r>
    <r>
      <rPr>
        <sz val="10"/>
        <rFont val="CG Times (W1)"/>
        <family val="1"/>
      </rPr>
      <t>( See page 3 )</t>
    </r>
  </si>
  <si>
    <t>TOTAL EXCESS OPERATING INCOME (EXPENSES)</t>
  </si>
  <si>
    <t>Note:</t>
  </si>
  <si>
    <t xml:space="preserve">If the column totals result in excess operating income, include the excess income in Account 7701 below.  If it   </t>
  </si>
  <si>
    <t>results in excess operating expenses, include the excess expenses in Account 7805 below.</t>
  </si>
  <si>
    <t xml:space="preserve">Anticipated </t>
  </si>
  <si>
    <t xml:space="preserve"> </t>
  </si>
  <si>
    <t>Amount</t>
  </si>
  <si>
    <t>BEGINNING BALANCE OF CASH AND INVESTMENTS</t>
  </si>
  <si>
    <t>Excess Operating Income (See Above)</t>
  </si>
  <si>
    <t>Legacies and Bequests</t>
  </si>
  <si>
    <t>I.P.C.C. Subsidy</t>
  </si>
  <si>
    <t>XXXXXX</t>
  </si>
  <si>
    <t>Non-Cash I.P.C.C. Subsidy (Assessment and Loan Interest)</t>
  </si>
  <si>
    <t>XXXX</t>
  </si>
  <si>
    <t>Diocesan and Extra-Diocesan Collections</t>
  </si>
  <si>
    <t>Proceeds from Loans</t>
  </si>
  <si>
    <t>Extraordinary Collections (Including Improvements and Construction)</t>
  </si>
  <si>
    <t>Insurance Proceeds from Casualty Losses</t>
  </si>
  <si>
    <t>Other Receipts (Explain on Separate Sheet)</t>
  </si>
  <si>
    <t xml:space="preserve">            </t>
  </si>
  <si>
    <t>Excess Operating Expenses (See Above)</t>
  </si>
  <si>
    <t>Diocesan &amp; Extra Dioc. Collection Remittals</t>
  </si>
  <si>
    <t>Repayment of Loans (Excluding Interest)</t>
  </si>
  <si>
    <t>Replacement Costs - Insured Losses</t>
  </si>
  <si>
    <t>Additions to Property and Equipment:</t>
  </si>
  <si>
    <t xml:space="preserve">  Church and Rectory</t>
  </si>
  <si>
    <t xml:space="preserve">  School and Convent</t>
  </si>
  <si>
    <t>"Tithing the Tithe" and/or Inter-Parochial Donations</t>
  </si>
  <si>
    <t>Other Expenditures (Explain on Separate Sheet)</t>
  </si>
  <si>
    <t>ENDING BALANCE OF CASH AND INVESTMENTS</t>
  </si>
  <si>
    <t>Balance - June 30, 2016 (See Cash and Investment Summary)</t>
  </si>
  <si>
    <t xml:space="preserve">                  As of June 30, 2017</t>
  </si>
  <si>
    <t>Balance - June 30, 2017 (See Cash and Investment Summary)</t>
  </si>
  <si>
    <t>Jun 30, 17</t>
  </si>
  <si>
    <t>Current Assets</t>
  </si>
  <si>
    <t>Checking/Savings</t>
  </si>
  <si>
    <t>10000 Cash and Investments</t>
  </si>
  <si>
    <t>10110 Checking Accounts</t>
  </si>
  <si>
    <t>8015 - Gift Certificate Program</t>
  </si>
  <si>
    <t>8020 · Cash Commerce Operating Acct.</t>
  </si>
  <si>
    <t>8023 · Cash- Commer Cap Camp 37-214913</t>
  </si>
  <si>
    <t>8028 · Cash CYO Account</t>
  </si>
  <si>
    <t>Total 10110 Checking Accounts</t>
  </si>
  <si>
    <t>Total 10000 Cash and Investments</t>
  </si>
  <si>
    <t>8000 -Cash  in bank</t>
  </si>
  <si>
    <t>7982 - Deposits to HFVH Restri.</t>
  </si>
  <si>
    <t>Total 8000 -Cash  in bank</t>
  </si>
  <si>
    <t>Total Checking/Savings</t>
  </si>
  <si>
    <t>Other Current Assets</t>
  </si>
  <si>
    <t>11480 Scrip Inventory</t>
  </si>
  <si>
    <t>Total Other Current Assets</t>
  </si>
  <si>
    <t>Total Current Assets</t>
  </si>
  <si>
    <t>Liabilities</t>
  </si>
  <si>
    <t>Current Liabilities</t>
  </si>
  <si>
    <t>Other Current Liabilities</t>
  </si>
  <si>
    <t>27000 (Extra) Diocesan Coll</t>
  </si>
  <si>
    <t>27725 Aging &amp; Ill Priests</t>
  </si>
  <si>
    <t>27735 Catholic Relief Services</t>
  </si>
  <si>
    <t>27780 Other Special Collections</t>
  </si>
  <si>
    <t>Total 27000 (Extra) Diocesan Coll</t>
  </si>
  <si>
    <t>Total Other Current Liabilities</t>
  </si>
  <si>
    <t>Total Current Liabilities</t>
  </si>
  <si>
    <t>Total Liabilities</t>
  </si>
  <si>
    <t>Equity</t>
  </si>
  <si>
    <t>30000 Opening Balance Equity</t>
  </si>
  <si>
    <t>3900 · 8999 -Retained Earnings</t>
  </si>
  <si>
    <t>Total Equity</t>
  </si>
  <si>
    <t>Type</t>
  </si>
  <si>
    <t>Date</t>
  </si>
  <si>
    <t>Num</t>
  </si>
  <si>
    <t>Name</t>
  </si>
  <si>
    <t>Memo</t>
  </si>
  <si>
    <t>Split</t>
  </si>
  <si>
    <t>Balance</t>
  </si>
  <si>
    <t>Deposit</t>
  </si>
  <si>
    <t>Check</t>
  </si>
  <si>
    <t>Total 27725 Aging &amp; Ill Priests</t>
  </si>
  <si>
    <t>Total 27735 Catholic Relief Services</t>
  </si>
  <si>
    <t>27740 Catholic Home Missions</t>
  </si>
  <si>
    <t>Total 27740 Catholic Home Missions</t>
  </si>
  <si>
    <t>27745 Black &amp; Indian Missions</t>
  </si>
  <si>
    <t>Total 27745 Black &amp; Indian Missions</t>
  </si>
  <si>
    <t>27750 Peter's Pence</t>
  </si>
  <si>
    <t>Total 27750 Peter's Pence</t>
  </si>
  <si>
    <t>27755 Good Friday Holy Land</t>
  </si>
  <si>
    <t>Total 27755 Good Friday Holy Land</t>
  </si>
  <si>
    <t>27765 Mission Sunday</t>
  </si>
  <si>
    <t>Total 27765 Mission Sunday</t>
  </si>
  <si>
    <t>27770 Campaign Human Develop</t>
  </si>
  <si>
    <t>Total 27770 Campaign Human Develop</t>
  </si>
  <si>
    <t>27775 Operation Rice Bowl</t>
  </si>
  <si>
    <t>Total 27775 Operation Rice Bowl</t>
  </si>
  <si>
    <t>27776 Retirement for Religious</t>
  </si>
  <si>
    <t>Total 27776 Retirement for Religious</t>
  </si>
  <si>
    <t>Catholic University</t>
  </si>
  <si>
    <t>Total 27780 Other Special Collections</t>
  </si>
  <si>
    <t>Total Collected</t>
  </si>
  <si>
    <t>$ Change</t>
  </si>
  <si>
    <t>Var from Net Income</t>
  </si>
  <si>
    <t>Variance Items</t>
  </si>
  <si>
    <t xml:space="preserve">   Current Liabilities</t>
  </si>
  <si>
    <t>1130.3 Donations</t>
  </si>
  <si>
    <t>41160 Religious Education - Other</t>
  </si>
  <si>
    <t>47794 Other Receipts</t>
  </si>
  <si>
    <t>2638.4 Books/Supplies</t>
  </si>
  <si>
    <t>2638.6 Misc Supplies</t>
  </si>
  <si>
    <t>52670 Maintenance - Church - Other</t>
  </si>
  <si>
    <t>4640.5 Promotions/marketing</t>
  </si>
  <si>
    <t>4646.5 Office Equipment</t>
  </si>
  <si>
    <t>4646.5B Computer H/W &amp; Software</t>
  </si>
  <si>
    <t>4646.5E Other Office Equipment</t>
  </si>
  <si>
    <t>Total 4646.5 Office Equipment</t>
  </si>
  <si>
    <t>Rectory operating expense</t>
  </si>
  <si>
    <t>Includes per-family religious ed assessment $6K</t>
  </si>
  <si>
    <t>Disability Insurance</t>
  </si>
  <si>
    <t xml:space="preserve">                                                              For the Fiscal Year Ended June 30, 2018</t>
  </si>
  <si>
    <t>FY2017-2018</t>
  </si>
  <si>
    <t xml:space="preserve">                  As of June 30, 2018</t>
  </si>
  <si>
    <t>Jul '17 - Jun 18</t>
  </si>
  <si>
    <t>41110 Sunday Collections - Other</t>
  </si>
  <si>
    <t>41125 Stole Fees - Other</t>
  </si>
  <si>
    <t>1130.18 Easter Flowers</t>
  </si>
  <si>
    <t>1130.19 Fish Fry</t>
  </si>
  <si>
    <t>41230 - Scrip Profit from sales</t>
  </si>
  <si>
    <t>41245 Rentals, Net</t>
  </si>
  <si>
    <t>43130.10 LuLaRoe</t>
  </si>
  <si>
    <t>43130.2 Carnival</t>
  </si>
  <si>
    <t>3130.56a 5/050</t>
  </si>
  <si>
    <t>Total 43130.2 Carnival</t>
  </si>
  <si>
    <t>43130.6 Chick-Fil-A</t>
  </si>
  <si>
    <t>43130 Socials &amp; Donations, net - Other</t>
  </si>
  <si>
    <t>Gross Profit</t>
  </si>
  <si>
    <t>2545 - Life Insurance Premiums</t>
  </si>
  <si>
    <t>2566 403B Employer</t>
  </si>
  <si>
    <t>52599 P/R Taxes &amp; Fringe Benef. - Other</t>
  </si>
  <si>
    <t>2630.10 - Donations</t>
  </si>
  <si>
    <t>2630.11 Social Sunday</t>
  </si>
  <si>
    <t>2630.12 Chapel</t>
  </si>
  <si>
    <t>2630.2 Postage</t>
  </si>
  <si>
    <t>2630.6 Stewardship/Hospitality</t>
  </si>
  <si>
    <t>2650.8 Reconciliation</t>
  </si>
  <si>
    <t>52660 Rectory-Office Op Expense</t>
  </si>
  <si>
    <t>2660.4 Misc</t>
  </si>
  <si>
    <t>52660 Rectory-Office Op Expense - Other</t>
  </si>
  <si>
    <t>Total 52660 Rectory-Office Op Expense</t>
  </si>
  <si>
    <t>52675 Maint. - Rectory-Office</t>
  </si>
  <si>
    <t>52675 Maint. - Rectory-Office - Other</t>
  </si>
  <si>
    <t>Total 52675 Maint. - Rectory-Office</t>
  </si>
  <si>
    <t>2680.2 Gas</t>
  </si>
  <si>
    <t>52680 -Utilities - Church - Other</t>
  </si>
  <si>
    <t>2685.2 Gas</t>
  </si>
  <si>
    <t>52685 -Utilities - Rectory - Other</t>
  </si>
  <si>
    <t>52695 School Subsidy Payments</t>
  </si>
  <si>
    <t>54535 Disability / Life Ins.</t>
  </si>
  <si>
    <t>54566 403B Employer</t>
  </si>
  <si>
    <t>54599 P/R Taxes - Fringe Bene's - Other</t>
  </si>
  <si>
    <t>54640 -Admin. &amp; Instructional - Other</t>
  </si>
  <si>
    <t>54644 Outside Print. &amp; Publicat</t>
  </si>
  <si>
    <t>54646-Office Supplies &amp; Equip. - Other</t>
  </si>
  <si>
    <t>4680.1 electricity</t>
  </si>
  <si>
    <t>4680.2 Gas</t>
  </si>
  <si>
    <t>54680 -Utilities - School - Other</t>
  </si>
  <si>
    <t>Total 54680 -Utilities - School</t>
  </si>
  <si>
    <t>54690 -Interest Expense</t>
  </si>
  <si>
    <t>54000 Total School Op Expenses - Other</t>
  </si>
  <si>
    <t>57830 Additions School &amp; Conv</t>
  </si>
  <si>
    <t>Lease</t>
  </si>
  <si>
    <t>66900 · Reconciliation Discrepancies</t>
  </si>
  <si>
    <t>6999 · 9999 -Uncategorized Items</t>
  </si>
  <si>
    <t>Tuition and CARES Income</t>
  </si>
  <si>
    <t>Bulletin, Scrip Profit, Interest, etc.</t>
  </si>
  <si>
    <t>Includes per-family religious ed assessment $6K (2016-17 - where is 2017-2018?)</t>
  </si>
  <si>
    <t>Balance - June 30, 2018 (See Cash and Investment Summary)</t>
  </si>
  <si>
    <t>Total Paid out</t>
  </si>
  <si>
    <t>8021 -  Stipend</t>
  </si>
  <si>
    <t>Accounts Payable</t>
  </si>
  <si>
    <t>20000 Accounts Payable</t>
  </si>
  <si>
    <t>Total Accounts Payable</t>
  </si>
  <si>
    <t>22000 Mass Stipends</t>
  </si>
  <si>
    <t xml:space="preserve">   Long-Term liabilities</t>
  </si>
  <si>
    <t>Total liabilities</t>
  </si>
  <si>
    <t>20000 Accounts Payable - Other</t>
  </si>
  <si>
    <t>Total 20000 Accounts Payable</t>
  </si>
  <si>
    <t>23000 Unearned Income</t>
  </si>
  <si>
    <t>23000 Unearned Income - Other</t>
  </si>
  <si>
    <t>Total 23000 Unearned Income</t>
  </si>
  <si>
    <t>reverse CARES sign</t>
  </si>
  <si>
    <t>Income less CARES Expenses</t>
  </si>
  <si>
    <t>Income on Statement</t>
  </si>
  <si>
    <t>Variance items</t>
  </si>
  <si>
    <t xml:space="preserve">Variance   </t>
  </si>
  <si>
    <t>Expense on statement prepared</t>
  </si>
  <si>
    <t>operating Expense plus CARES expense</t>
  </si>
  <si>
    <t>Heritage of Faith Vision of Hope Restricted Account</t>
  </si>
  <si>
    <t xml:space="preserve">   Excess Operating Income</t>
  </si>
  <si>
    <t>1130.3 Clothing Donations</t>
  </si>
  <si>
    <t>Pastoral administrative expenses</t>
  </si>
  <si>
    <t>20100 A/P - Archdiocesan Debt</t>
  </si>
  <si>
    <t>20100.3 Assessment</t>
  </si>
  <si>
    <t>Total 20100 A/P - Archdiocesan Debt</t>
  </si>
  <si>
    <t>Long Term Liabilities</t>
  </si>
  <si>
    <t>29000 Loans Payable</t>
  </si>
  <si>
    <t>29100 Archdiocesan Loans</t>
  </si>
  <si>
    <t>29100.1 Archdiocesan Loan Princ</t>
  </si>
  <si>
    <t>Total 29100 Archdiocesan Loans</t>
  </si>
  <si>
    <t>Total 29000 Loans Payable</t>
  </si>
  <si>
    <t>Total Long Term Liabilities</t>
  </si>
  <si>
    <t xml:space="preserve">   Long-Term Liabilities</t>
  </si>
  <si>
    <t>Scrip Profit</t>
  </si>
  <si>
    <t>Bulletin, Interest, etc.</t>
  </si>
  <si>
    <t>Parish Office operating expense</t>
  </si>
  <si>
    <t>Utilities of church, parish office, farmhouse</t>
  </si>
  <si>
    <t>Maintenance of church, parish office, farmhouse</t>
  </si>
  <si>
    <t>Sunday, Holy Day, and other collections for parish use</t>
  </si>
  <si>
    <t>1130.8 Christmas Flowers</t>
  </si>
  <si>
    <t>2410.1 - Deacon Stpnd to Archd</t>
  </si>
  <si>
    <t>52410 Diocesan Assessments - Other</t>
  </si>
  <si>
    <t>Total 52410 Diocesan Assessments</t>
  </si>
  <si>
    <t>52510 -Parish Social Security</t>
  </si>
  <si>
    <t>52520 -P.C.C Unemployment Fund</t>
  </si>
  <si>
    <t>52530 -Health Benefit Premiums</t>
  </si>
  <si>
    <t>52535 -Disability Insurance</t>
  </si>
  <si>
    <t>52540 -Workers Compensation</t>
  </si>
  <si>
    <t>52550 -Clergy/Relig. Ins &amp; Pens</t>
  </si>
  <si>
    <t>52560 -L.E.R.P</t>
  </si>
  <si>
    <t>52566 403B Employer</t>
  </si>
  <si>
    <t>52560 -L.E.R.P - Other</t>
  </si>
  <si>
    <t>Total 52560 -L.E.R.P</t>
  </si>
  <si>
    <t>52570 -Other Fring Benefits</t>
  </si>
  <si>
    <t>52545 - Life Insurance Premiums</t>
  </si>
  <si>
    <t>52570 -Other Fring Benefits - Other</t>
  </si>
  <si>
    <t>Total 52570 -Other Fring Benefits</t>
  </si>
  <si>
    <t>2630.1 telephone-website</t>
  </si>
  <si>
    <t>2630.11 Music Ministry Expenses</t>
  </si>
  <si>
    <t>2670.4 Chapel Maintenace</t>
  </si>
  <si>
    <t>54695 School Subsidy Payments</t>
  </si>
  <si>
    <t>Property &amp; Liability insurance</t>
  </si>
  <si>
    <t>8020 · Cash TD Operating Acct.</t>
  </si>
  <si>
    <t>10130 Money Market Accounts</t>
  </si>
  <si>
    <t>10135 TD Money Market</t>
  </si>
  <si>
    <t>Total 10130 Money Market Accounts</t>
  </si>
  <si>
    <t>10200 Investments</t>
  </si>
  <si>
    <t>10250 Archdiocesan Trust Funds</t>
  </si>
  <si>
    <t>10250.02 HOF~VOH Trust Fund</t>
  </si>
  <si>
    <t>Total 10250.02 HOF~VOH Trust Fund</t>
  </si>
  <si>
    <t>Total 10250 Archdiocesan Trust Funds</t>
  </si>
  <si>
    <t>Total 10200 Investments</t>
  </si>
  <si>
    <t>26000 Other Liabilities</t>
  </si>
  <si>
    <t>26010 CYO Banking (Non P&amp;L)</t>
  </si>
  <si>
    <t>Total 26000 Other Liabilities</t>
  </si>
  <si>
    <t>27774 Churches in Latin America</t>
  </si>
  <si>
    <t>32000 · 32000 Retained Earnings</t>
  </si>
  <si>
    <t xml:space="preserve">   Repayment of past due assessments</t>
  </si>
  <si>
    <t>Money Market Account</t>
  </si>
  <si>
    <t>Accounts Receivable / Prepaid Expenses</t>
  </si>
  <si>
    <t xml:space="preserve">        Accts Receivable / Prepaid</t>
  </si>
  <si>
    <t>General Journal</t>
  </si>
  <si>
    <t>Total 27774 Churches in Latin America</t>
  </si>
  <si>
    <t xml:space="preserve">   Other Receipts</t>
  </si>
  <si>
    <t>Jul '20 - Jun 21</t>
  </si>
  <si>
    <t>41110.01 PG Sunday Collection</t>
  </si>
  <si>
    <t>1130.20 Stitchers Group</t>
  </si>
  <si>
    <t>2696 -Church Fund Raising Exp.</t>
  </si>
  <si>
    <t>2630.13  Live Stream Expenses</t>
  </si>
  <si>
    <t>2630.14 Social Sunday</t>
  </si>
  <si>
    <t>52632.1  Electronic Giving Fee</t>
  </si>
  <si>
    <t>52632 Prof Fees/Contracted Svcs - Other</t>
  </si>
  <si>
    <t>Total 52632 Prof Fees/Contracted Svcs</t>
  </si>
  <si>
    <t>Jun 30, 21</t>
  </si>
  <si>
    <t>12000 Due to/from School</t>
  </si>
  <si>
    <t>23300 - Unearned PREP Fees</t>
  </si>
  <si>
    <t>Arch of Phila- Office of Financial Svcs</t>
  </si>
  <si>
    <t>PRSHGVMAY2</t>
  </si>
  <si>
    <t>PRSHGVMAY3</t>
  </si>
  <si>
    <t>Thanksgiving</t>
  </si>
  <si>
    <t>St. Vincent DePaul Society</t>
  </si>
  <si>
    <t>Socials and Donations (net)</t>
  </si>
  <si>
    <t>Jul '21 - Jun 22</t>
  </si>
  <si>
    <t>1130.21 Trucktoberfest</t>
  </si>
  <si>
    <t>1130.22 Memorial Bricks</t>
  </si>
  <si>
    <t>41130 Socials &amp; Donations, net - Other</t>
  </si>
  <si>
    <t>52632.2 - Electr Giving - PREP</t>
  </si>
  <si>
    <t>57835 Other Expenditures</t>
  </si>
  <si>
    <t>Total 57835 Other Expenditures</t>
  </si>
  <si>
    <t>Jun 30, 22</t>
  </si>
  <si>
    <t>8023 · Cash -  PPP Loan /  Cap Camp</t>
  </si>
  <si>
    <t>10250.02 HOF~VOH Trust Fund - Other</t>
  </si>
  <si>
    <t>27760 Mission Cooperative Plan</t>
  </si>
  <si>
    <t>27773 E Europe/Military/Africa</t>
  </si>
  <si>
    <t>27000 (Extra) Diocesan Coll - Other</t>
  </si>
  <si>
    <t>Parish Giving less fees</t>
  </si>
  <si>
    <t>PRSHGVJAN1</t>
  </si>
  <si>
    <t>Record Parish Giving fee portion of Parish Giving - Fuel and Heat  (through 12/31/22, 1/5/22 remit)</t>
  </si>
  <si>
    <t>Parish Givinbg less fees through 2/18/22</t>
  </si>
  <si>
    <t>PRSHGVFEB4</t>
  </si>
  <si>
    <t>Record Parish Giving fee portion of Aging &amp; Retired priests (through 2/18/22, 2/23/22 remit)</t>
  </si>
  <si>
    <t>13750</t>
  </si>
  <si>
    <t>Aging and Retired Priests 2022</t>
  </si>
  <si>
    <t>PRSHGVMAY4</t>
  </si>
  <si>
    <t>Record Parish Giving fees  (through 5/27/22, 6/1/22 remit)</t>
  </si>
  <si>
    <t>Parish Giving through 5/27</t>
  </si>
  <si>
    <t>Parish Giving less fees through 1/21/22</t>
  </si>
  <si>
    <t>PRSHGVJAN4</t>
  </si>
  <si>
    <t>Record Parish Giving fee portion of Parish Giving (through 1/21/22, 1/26/22 remit)</t>
  </si>
  <si>
    <t>13747</t>
  </si>
  <si>
    <t>Catholic Relief Services 2022</t>
  </si>
  <si>
    <t>Parish Giving less Fees - Catholic Relief</t>
  </si>
  <si>
    <t>PRSHGVAPR1</t>
  </si>
  <si>
    <t>Record Parish Giving fee portion of Catholic Relief Svcs (through 4/1/22, 4/6/22 remit)</t>
  </si>
  <si>
    <t>PRSHGVJUNE1</t>
  </si>
  <si>
    <t>Record Parish Giving fees (through 6/3/22, 6/8/22 remit)</t>
  </si>
  <si>
    <t>PRSHGVJUNE2</t>
  </si>
  <si>
    <t>Record Parish Giving fees</t>
  </si>
  <si>
    <t>Parish Giving less Fees</t>
  </si>
  <si>
    <t>Record Parish Giving fee portion (through 5/13/22, 5/18/22 remit)</t>
  </si>
  <si>
    <t>13880</t>
  </si>
  <si>
    <t>Catholic Home Missions 2022</t>
  </si>
  <si>
    <t>Parish Giving through 7/23/21</t>
  </si>
  <si>
    <t>PRSHGVJUL4</t>
  </si>
  <si>
    <t>Record Parish Giving fee portion of offertory (through 7/23/21, 7/28/21 remit)</t>
  </si>
  <si>
    <t>13519</t>
  </si>
  <si>
    <t>Black and Indian Missions  2021</t>
  </si>
  <si>
    <t>1/2/22 colection - late deposit</t>
  </si>
  <si>
    <t>Parish Giving less fees through 5/20/22</t>
  </si>
  <si>
    <t>Record Parish Giving fee portion (through 5/20/22, 5/25/22 remit)</t>
  </si>
  <si>
    <t>OFFTRYRCLAS</t>
  </si>
  <si>
    <t>Reclass offertory to nd collection per parishioner direction</t>
  </si>
  <si>
    <t>Parish Giving less fees through 6/17/22</t>
  </si>
  <si>
    <t>PRSHGVJUNE3</t>
  </si>
  <si>
    <t>Record Parish Giving fees (through 6/17/22, 6/22/22 remit)</t>
  </si>
  <si>
    <t>Parish Giving through 7/2/21</t>
  </si>
  <si>
    <t>PRSHGVJUL1</t>
  </si>
  <si>
    <t>Record Parish Giving fee portion of 2nd collection (through 7/2/21, 7/7/21 remit)</t>
  </si>
  <si>
    <t>13457</t>
  </si>
  <si>
    <t>Peter's Pence 2021</t>
  </si>
  <si>
    <t>PRSHGVJUNE4</t>
  </si>
  <si>
    <t>Record Parish Giving fees (through 6/24/22, 6/29/22 remit)</t>
  </si>
  <si>
    <t>Parish Giving less Fees - Good Friday</t>
  </si>
  <si>
    <t>Record Parish Giving fee portion of Good Friday/Holy Land  (through 4/1/22, 4/6/22 remit)</t>
  </si>
  <si>
    <t>Parish Giving less fees through 4/15/22</t>
  </si>
  <si>
    <t>PRSHGVAPR3</t>
  </si>
  <si>
    <t>Record Parish Giving fee portion of Good Friday Holy Land  (through 4/15/22, 4/20/22 remit)</t>
  </si>
  <si>
    <t>Parish Giving less Fees through 4/22/22</t>
  </si>
  <si>
    <t>PRSHGVAPR4</t>
  </si>
  <si>
    <t>Record Parish Giving fee portion of Good Friday Holy Land  (through 4/22/22, 4/27/22 remit)</t>
  </si>
  <si>
    <t>13881</t>
  </si>
  <si>
    <t>Good Friday - Holy Land 2022</t>
  </si>
  <si>
    <t>Total 27760 Mission Cooperative Plan</t>
  </si>
  <si>
    <t>PRSHGVAUG3</t>
  </si>
  <si>
    <t>Record Parish Giving fee portion of 2nd collection  (through 8/20, 8/25/21 remit)</t>
  </si>
  <si>
    <t>13654</t>
  </si>
  <si>
    <t>Mission Sunday  2021</t>
  </si>
  <si>
    <t>Parish Giving 7/16/21 remittance</t>
  </si>
  <si>
    <t>Parish Giving, less fees</t>
  </si>
  <si>
    <t>PRSHGVJUL5</t>
  </si>
  <si>
    <t>Record Parish Giving fee portion of 2nd collection (through 7/30/21, 8/4/21 remit)</t>
  </si>
  <si>
    <t>13458</t>
  </si>
  <si>
    <t>Human Dev  2021</t>
  </si>
  <si>
    <t>Parish Giving less fees through 4/8/22</t>
  </si>
  <si>
    <t>PRSHGVAPR2</t>
  </si>
  <si>
    <t>Record Parish Giving fee portion of Camp[aign Human Dev (through 4/8/22, 4/13/22 remit)</t>
  </si>
  <si>
    <t>Central &amp; Eastern Europe</t>
  </si>
  <si>
    <t>early donation - Ukraine</t>
  </si>
  <si>
    <t>Ukraine</t>
  </si>
  <si>
    <t>OFFERTRYRCL</t>
  </si>
  <si>
    <t>reclass offertory to Ukraine collection</t>
  </si>
  <si>
    <t>13748</t>
  </si>
  <si>
    <t>Church Eastern/Central Europe (Ukraine) 2022</t>
  </si>
  <si>
    <t>Ukraine - donated after Eastern Europe collection submitted - to be paid directly to Ukrainian c...</t>
  </si>
  <si>
    <t>Record Parish Giving fee portion of UKRAINE (through 4/1/22, 4/6/22 remit)</t>
  </si>
  <si>
    <t>13796</t>
  </si>
  <si>
    <t>Archeparchy of Philadelphia</t>
  </si>
  <si>
    <t>Humanitarian Aid - Ukraine</t>
  </si>
  <si>
    <t>Total Central &amp; Eastern Europe</t>
  </si>
  <si>
    <t>27773 E Europe/Military/Africa - Other</t>
  </si>
  <si>
    <t>Total 27773 E Europe/Military/Africa - Other</t>
  </si>
  <si>
    <t>Total 27773 E Europe/Military/Africa</t>
  </si>
  <si>
    <t>PRSHGVAUG1</t>
  </si>
  <si>
    <t>Record Parish Giving fee portion of 2nd collection (through 8/13, 8/18/21 remit)</t>
  </si>
  <si>
    <t>13749</t>
  </si>
  <si>
    <t>Church in Latin America 2022</t>
  </si>
  <si>
    <t>Cash, 2 checks and some rolled change</t>
  </si>
  <si>
    <t>Change</t>
  </si>
  <si>
    <t>Parish Giving less fees through 12/10/21</t>
  </si>
  <si>
    <t>PRSHGVDEC2</t>
  </si>
  <si>
    <t>Record Parish Giving fee portion of Parish Giving  Religious Retirement (through 12/3, 12/8/21 r...</t>
  </si>
  <si>
    <t>Late deposit from 1/2/22 - not counted</t>
  </si>
  <si>
    <t>13653</t>
  </si>
  <si>
    <t>Religious Retirement  2021</t>
  </si>
  <si>
    <t>13459</t>
  </si>
  <si>
    <t>Catholic University  2021</t>
  </si>
  <si>
    <t>Thanksgiving Collection  less fees - St Vincent DePaul</t>
  </si>
  <si>
    <t>PRSHGVNOV2</t>
  </si>
  <si>
    <t>Record Parish Giving fee portion of Thanksgiving Collection' (through 11/12, 11/17/21 remit)</t>
  </si>
  <si>
    <t>Thanksgiving Collection - St Vincent DePaul</t>
  </si>
  <si>
    <t>Parish Giving less fees thru 11/26/21 Thanksgiving Collection</t>
  </si>
  <si>
    <t>PRSHGVNOV4</t>
  </si>
  <si>
    <t>Record Parish Giving fee portion of Thanksgiving Collection'  (through 11/26, 12/1/21 remit)</t>
  </si>
  <si>
    <t>Thanksgiving - St Vincent DePaul</t>
  </si>
  <si>
    <t>Thanksgiving - Parish Givng less fees</t>
  </si>
  <si>
    <t>PRSHGVDEC1</t>
  </si>
  <si>
    <t>Record Parish Giving fee portion of Thanksgiving Collection'  (through 12/3, 12/8/21 remit)</t>
  </si>
  <si>
    <t>Thanksgiving - Late deposit from 1/2/22 - not counted</t>
  </si>
  <si>
    <t>13652</t>
  </si>
  <si>
    <t>Thanksgiving Collection 2021</t>
  </si>
  <si>
    <t>Total 27000 (Extra) Diocesan Coll - Other</t>
  </si>
  <si>
    <t>TOTAL</t>
  </si>
  <si>
    <t>Jul '22 - Jun 23</t>
  </si>
  <si>
    <t>% Change</t>
  </si>
  <si>
    <t>Special Projects collections</t>
  </si>
  <si>
    <t>Salaries, payroll taxes, employee benefits</t>
  </si>
  <si>
    <t>Subsidy payment to Catholic schools</t>
  </si>
  <si>
    <t>Jun 30, 23</t>
  </si>
  <si>
    <t>10400 CDs</t>
  </si>
  <si>
    <t>10420  6-Month CD #0047 3/22/24</t>
  </si>
  <si>
    <t>10430  9-month CD 12/22/23</t>
  </si>
  <si>
    <t>10440 12-Month CD #0120 3/22/24</t>
  </si>
  <si>
    <t>Total 10400 CDs</t>
  </si>
  <si>
    <t>13000 Other Assets</t>
  </si>
  <si>
    <t>13000.1 Prepaid Expenses</t>
  </si>
  <si>
    <t>Total 13000 Other Assets</t>
  </si>
  <si>
    <t>26000 Other Liabilities - Other</t>
  </si>
  <si>
    <t>Certificates of Deposit</t>
  </si>
  <si>
    <t>Jul '23 - Jun 24</t>
  </si>
  <si>
    <t>54696 · Subsidy to Preschool</t>
  </si>
  <si>
    <t>Preschool Subsidy</t>
  </si>
  <si>
    <t>Jun 30, 24</t>
  </si>
  <si>
    <t>10421 9-Month CD #0005 9/23/25</t>
  </si>
  <si>
    <t>10450 6-Month CD #0120 3/26/25</t>
  </si>
  <si>
    <t>Total Debt:</t>
  </si>
  <si>
    <t>Past Diocesan Assessments  (2009 - 2012)</t>
  </si>
  <si>
    <t xml:space="preserve">   Unearned Income</t>
  </si>
  <si>
    <t>Balance - June 30, 2025 (See Cash and Investment Summary)</t>
  </si>
  <si>
    <t xml:space="preserve">      Money Mkt / CDs</t>
  </si>
  <si>
    <t xml:space="preserve">                                                              For the Fiscal Year Ended June 30, 2026</t>
  </si>
  <si>
    <t>Balance - June 30, 2026 (See Cash and Investment Summary)</t>
  </si>
  <si>
    <t xml:space="preserve">                  As of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</si>
</sst>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43" formatCode="_(* #,##0.00_);_(* \(#,##0.00\);_(* &quot;-&quot;??_);_(@_)"/>
    <numFmt numFmtId="164" formatCode="_(* #,##0_);_(* \(#,##0\);_(* &quot;-&quot;??_);_(@_)"/>
    <numFmt numFmtId="165" formatCode="mm/dd/yyyy"/>
    <numFmt numFmtId="166" formatCode="[$-409]mmmm\ d\,\ yyyy;@"/>
    <numFmt numFmtId="167" formatCode="#,##0.0#%_);[Red]\(#,##0.0#%\)"/>
    <numFmt numFmtId="168" formatCode="_(* #,##0.0_);_(* \(#,##0.0\);_(* &quot;-&quot;??_);_(@_)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b/>
      <sz val="14"/>
      <name val="CG Times (W1)"/>
      <family val="1"/>
    </font>
    <font>
      <sz val="10"/>
      <name val="CG Times (W1)"/>
      <family val="1"/>
    </font>
    <font>
      <b/>
      <sz val="10"/>
      <name val="CG Times (W1)"/>
      <family val="1"/>
    </font>
    <font>
      <b/>
      <sz val="12"/>
      <color indexed="12"/>
      <name val="CG Times (W1)"/>
      <family val="1"/>
    </font>
    <font>
      <b/>
      <sz val="12"/>
      <name val="CG Times (W1)"/>
      <family val="1"/>
    </font>
    <font>
      <b/>
      <u/>
      <sz val="11"/>
      <name val="CG Times (W1)"/>
      <family val="1"/>
    </font>
    <font>
      <b/>
      <sz val="11"/>
      <name val="CG Times (W1)"/>
      <family val="1"/>
    </font>
    <font>
      <sz val="11"/>
      <name val="CG Times (W1)"/>
      <family val="1"/>
    </font>
    <font>
      <b/>
      <u/>
      <sz val="10"/>
      <name val="CG Times (W1)"/>
      <family val="1"/>
    </font>
    <font>
      <sz val="10"/>
      <color indexed="12"/>
      <name val="CG Times (W1)"/>
      <family val="1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00CC"/>
      <name val="Calibri"/>
      <family val="2"/>
      <scheme val="minor"/>
    </font>
    <font>
      <u/>
      <sz val="11"/>
      <color rgb="FF0000CC"/>
      <name val="Calibri"/>
      <family val="2"/>
      <scheme val="minor"/>
    </font>
    <font>
      <u/>
      <sz val="11"/>
      <name val="Calibri"/>
      <family val="2"/>
      <scheme val="minor"/>
    </font>
    <font>
      <u val="singleAccounting"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u val="singleAccounting"/>
      <sz val="11"/>
      <name val="Calibri"/>
      <family val="2"/>
      <scheme val="minor"/>
    </font>
    <font>
      <sz val="11"/>
      <color indexed="8"/>
      <name val="Calibri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indexed="10"/>
      <name val="Arial"/>
      <family val="2"/>
    </font>
    <font>
      <b/>
      <sz val="8"/>
      <color indexed="18"/>
      <name val="Arial"/>
      <family val="2"/>
    </font>
    <font>
      <b/>
      <sz val="8"/>
      <color indexed="17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11"/>
      <color rgb="FF0000CC"/>
      <name val="Calibri"/>
      <family val="2"/>
    </font>
    <font>
      <b/>
      <sz val="8"/>
      <color rgb="FF0000CC"/>
      <name val="Arial"/>
      <family val="2"/>
    </font>
    <font>
      <sz val="10"/>
      <name val="Arial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3" fillId="0" borderId="0"/>
    <xf numFmtId="0" fontId="24" fillId="0" borderId="0"/>
    <xf numFmtId="0" fontId="42" fillId="0" borderId="0"/>
  </cellStyleXfs>
  <cellXfs count="178">
    <xf numFmtId="0" fontId="0" fillId="0" borderId="0" xfId="0"/>
    <xf numFmtId="49" fontId="11" fillId="0" borderId="0" xfId="0" applyNumberFormat="1" applyFont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11" fillId="0" borderId="0" xfId="0" applyNumberFormat="1" applyFont="1"/>
    <xf numFmtId="40" fontId="12" fillId="0" borderId="0" xfId="0" applyNumberFormat="1" applyFont="1"/>
    <xf numFmtId="40" fontId="12" fillId="0" borderId="3" xfId="0" applyNumberFormat="1" applyFont="1" applyBorder="1"/>
    <xf numFmtId="40" fontId="12" fillId="0" borderId="4" xfId="0" applyNumberFormat="1" applyFont="1" applyBorder="1"/>
    <xf numFmtId="40" fontId="11" fillId="0" borderId="5" xfId="0" applyNumberFormat="1" applyFont="1" applyBorder="1"/>
    <xf numFmtId="0" fontId="11" fillId="0" borderId="0" xfId="0" applyFont="1"/>
    <xf numFmtId="0" fontId="14" fillId="0" borderId="0" xfId="2" applyFont="1" applyAlignment="1" applyProtection="1">
      <alignment horizontal="centerContinuous"/>
      <protection locked="0"/>
    </xf>
    <xf numFmtId="0" fontId="15" fillId="0" borderId="0" xfId="2" applyFont="1" applyAlignment="1" applyProtection="1">
      <alignment horizontal="centerContinuous"/>
      <protection locked="0"/>
    </xf>
    <xf numFmtId="0" fontId="15" fillId="0" borderId="0" xfId="2" applyFont="1" applyProtection="1">
      <protection locked="0"/>
    </xf>
    <xf numFmtId="0" fontId="16" fillId="0" borderId="0" xfId="2" applyFont="1" applyProtection="1">
      <protection locked="0"/>
    </xf>
    <xf numFmtId="0" fontId="17" fillId="0" borderId="0" xfId="2" applyFont="1" applyAlignment="1" applyProtection="1">
      <alignment horizontal="centerContinuous"/>
      <protection locked="0"/>
    </xf>
    <xf numFmtId="0" fontId="18" fillId="0" borderId="0" xfId="2" applyFont="1" applyAlignment="1" applyProtection="1">
      <alignment horizontal="centerContinuous"/>
      <protection locked="0"/>
    </xf>
    <xf numFmtId="0" fontId="15" fillId="0" borderId="0" xfId="2" applyFont="1" applyAlignment="1" applyProtection="1">
      <alignment horizontal="center"/>
      <protection locked="0"/>
    </xf>
    <xf numFmtId="0" fontId="19" fillId="0" borderId="0" xfId="2" applyFont="1" applyAlignment="1" applyProtection="1">
      <alignment horizontal="centerContinuous"/>
      <protection locked="0"/>
    </xf>
    <xf numFmtId="0" fontId="20" fillId="0" borderId="0" xfId="2" applyFont="1" applyAlignment="1" applyProtection="1">
      <alignment horizontal="centerContinuous"/>
      <protection locked="0"/>
    </xf>
    <xf numFmtId="0" fontId="21" fillId="0" borderId="0" xfId="2" applyFont="1" applyProtection="1">
      <protection locked="0"/>
    </xf>
    <xf numFmtId="0" fontId="19" fillId="0" borderId="0" xfId="2" applyFont="1" applyAlignment="1" applyProtection="1">
      <alignment horizontal="center"/>
      <protection locked="0"/>
    </xf>
    <xf numFmtId="0" fontId="16" fillId="0" borderId="0" xfId="2" applyFont="1" applyAlignment="1" applyProtection="1">
      <alignment horizontal="center"/>
      <protection locked="0"/>
    </xf>
    <xf numFmtId="0" fontId="22" fillId="0" borderId="0" xfId="2" applyFont="1" applyAlignment="1" applyProtection="1">
      <alignment horizontal="center"/>
      <protection locked="0"/>
    </xf>
    <xf numFmtId="5" fontId="23" fillId="0" borderId="6" xfId="2" applyNumberFormat="1" applyFont="1" applyBorder="1"/>
    <xf numFmtId="5" fontId="15" fillId="0" borderId="0" xfId="2" applyNumberFormat="1" applyFont="1"/>
    <xf numFmtId="5" fontId="23" fillId="0" borderId="7" xfId="2" applyNumberFormat="1" applyFont="1" applyBorder="1"/>
    <xf numFmtId="0" fontId="23" fillId="0" borderId="0" xfId="2" applyFont="1" applyProtection="1">
      <protection locked="0"/>
    </xf>
    <xf numFmtId="0" fontId="16" fillId="0" borderId="0" xfId="2" applyFont="1" applyAlignment="1" applyProtection="1">
      <alignment horizontal="centerContinuous"/>
      <protection locked="0"/>
    </xf>
    <xf numFmtId="5" fontId="15" fillId="0" borderId="6" xfId="2" applyNumberFormat="1" applyFont="1" applyBorder="1" applyProtection="1">
      <protection locked="0"/>
    </xf>
    <xf numFmtId="5" fontId="15" fillId="0" borderId="0" xfId="2" applyNumberFormat="1" applyFont="1" applyProtection="1">
      <protection locked="0"/>
    </xf>
    <xf numFmtId="0" fontId="15" fillId="0" borderId="0" xfId="2" applyFont="1" applyAlignment="1" applyProtection="1">
      <alignment horizontal="left"/>
      <protection locked="0"/>
    </xf>
    <xf numFmtId="5" fontId="15" fillId="0" borderId="6" xfId="2" applyNumberFormat="1" applyFont="1" applyBorder="1" applyAlignment="1">
      <alignment horizontal="center"/>
    </xf>
    <xf numFmtId="0" fontId="16" fillId="0" borderId="0" xfId="2" applyFont="1" applyAlignment="1" applyProtection="1">
      <alignment horizontal="left"/>
      <protection locked="0"/>
    </xf>
    <xf numFmtId="164" fontId="4" fillId="8" borderId="0" xfId="1" applyNumberFormat="1" applyFont="1" applyFill="1"/>
    <xf numFmtId="0" fontId="7" fillId="8" borderId="0" xfId="0" applyFont="1" applyFill="1"/>
    <xf numFmtId="0" fontId="0" fillId="8" borderId="0" xfId="0" applyFill="1"/>
    <xf numFmtId="0" fontId="3" fillId="8" borderId="0" xfId="0" applyFont="1" applyFill="1" applyAlignment="1">
      <alignment horizontal="right"/>
    </xf>
    <xf numFmtId="0" fontId="3" fillId="8" borderId="0" xfId="0" applyFont="1" applyFill="1"/>
    <xf numFmtId="164" fontId="0" fillId="8" borderId="0" xfId="1" applyNumberFormat="1" applyFont="1" applyFill="1"/>
    <xf numFmtId="164" fontId="0" fillId="8" borderId="0" xfId="0" applyNumberFormat="1" applyFill="1"/>
    <xf numFmtId="164" fontId="2" fillId="8" borderId="0" xfId="1" applyNumberFormat="1" applyFont="1" applyFill="1"/>
    <xf numFmtId="164" fontId="4" fillId="8" borderId="0" xfId="0" applyNumberFormat="1" applyFont="1" applyFill="1"/>
    <xf numFmtId="43" fontId="0" fillId="8" borderId="0" xfId="0" applyNumberFormat="1" applyFill="1"/>
    <xf numFmtId="164" fontId="1" fillId="8" borderId="0" xfId="1" applyNumberFormat="1" applyFont="1" applyFill="1"/>
    <xf numFmtId="164" fontId="1" fillId="8" borderId="0" xfId="0" applyNumberFormat="1" applyFont="1" applyFill="1"/>
    <xf numFmtId="0" fontId="5" fillId="8" borderId="9" xfId="0" applyFont="1" applyFill="1" applyBorder="1"/>
    <xf numFmtId="0" fontId="5" fillId="8" borderId="10" xfId="0" applyFont="1" applyFill="1" applyBorder="1"/>
    <xf numFmtId="164" fontId="0" fillId="8" borderId="11" xfId="1" applyNumberFormat="1" applyFont="1" applyFill="1" applyBorder="1"/>
    <xf numFmtId="164" fontId="0" fillId="8" borderId="12" xfId="0" applyNumberFormat="1" applyFill="1" applyBorder="1"/>
    <xf numFmtId="0" fontId="9" fillId="8" borderId="0" xfId="0" applyFont="1" applyFill="1"/>
    <xf numFmtId="164" fontId="6" fillId="8" borderId="0" xfId="0" applyNumberFormat="1" applyFont="1" applyFill="1"/>
    <xf numFmtId="0" fontId="8" fillId="8" borderId="0" xfId="0" applyFont="1" applyFill="1"/>
    <xf numFmtId="0" fontId="5" fillId="8" borderId="0" xfId="0" applyFont="1" applyFill="1"/>
    <xf numFmtId="40" fontId="10" fillId="8" borderId="0" xfId="0" applyNumberFormat="1" applyFont="1" applyFill="1"/>
    <xf numFmtId="164" fontId="10" fillId="8" borderId="0" xfId="1" applyNumberFormat="1" applyFont="1" applyFill="1"/>
    <xf numFmtId="43" fontId="0" fillId="8" borderId="0" xfId="1" applyFont="1" applyFill="1"/>
    <xf numFmtId="164" fontId="3" fillId="8" borderId="0" xfId="1" applyNumberFormat="1" applyFont="1" applyFill="1"/>
    <xf numFmtId="0" fontId="10" fillId="8" borderId="0" xfId="0" applyFont="1" applyFill="1"/>
    <xf numFmtId="0" fontId="0" fillId="12" borderId="0" xfId="0" applyFill="1"/>
    <xf numFmtId="164" fontId="12" fillId="10" borderId="3" xfId="1" applyNumberFormat="1" applyFont="1" applyFill="1" applyBorder="1"/>
    <xf numFmtId="164" fontId="12" fillId="13" borderId="0" xfId="1" applyNumberFormat="1" applyFont="1" applyFill="1"/>
    <xf numFmtId="164" fontId="12" fillId="9" borderId="0" xfId="1" applyNumberFormat="1" applyFont="1" applyFill="1"/>
    <xf numFmtId="164" fontId="12" fillId="15" borderId="0" xfId="1" applyNumberFormat="1" applyFont="1" applyFill="1"/>
    <xf numFmtId="164" fontId="12" fillId="11" borderId="0" xfId="1" applyNumberFormat="1" applyFont="1" applyFill="1"/>
    <xf numFmtId="0" fontId="25" fillId="8" borderId="0" xfId="0" applyFont="1" applyFill="1"/>
    <xf numFmtId="164" fontId="12" fillId="4" borderId="0" xfId="1" applyNumberFormat="1" applyFont="1" applyFill="1"/>
    <xf numFmtId="164" fontId="12" fillId="18" borderId="0" xfId="1" applyNumberFormat="1" applyFont="1" applyFill="1"/>
    <xf numFmtId="164" fontId="0" fillId="0" borderId="0" xfId="1" applyNumberFormat="1" applyFont="1" applyBorder="1" applyAlignment="1">
      <alignment horizontal="centerContinuous"/>
    </xf>
    <xf numFmtId="164" fontId="11" fillId="0" borderId="8" xfId="1" applyNumberFormat="1" applyFont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164" fontId="12" fillId="0" borderId="0" xfId="1" applyNumberFormat="1" applyFont="1"/>
    <xf numFmtId="164" fontId="12" fillId="0" borderId="2" xfId="1" applyNumberFormat="1" applyFont="1" applyBorder="1"/>
    <xf numFmtId="164" fontId="12" fillId="2" borderId="0" xfId="1" applyNumberFormat="1" applyFont="1" applyFill="1"/>
    <xf numFmtId="164" fontId="12" fillId="3" borderId="0" xfId="1" applyNumberFormat="1" applyFont="1" applyFill="1"/>
    <xf numFmtId="164" fontId="12" fillId="7" borderId="0" xfId="1" applyNumberFormat="1" applyFont="1" applyFill="1"/>
    <xf numFmtId="164" fontId="12" fillId="14" borderId="0" xfId="1" applyNumberFormat="1" applyFont="1" applyFill="1"/>
    <xf numFmtId="164" fontId="12" fillId="14" borderId="2" xfId="1" applyNumberFormat="1" applyFont="1" applyFill="1" applyBorder="1"/>
    <xf numFmtId="164" fontId="12" fillId="6" borderId="0" xfId="1" applyNumberFormat="1" applyFont="1" applyFill="1"/>
    <xf numFmtId="164" fontId="12" fillId="0" borderId="0" xfId="1" applyNumberFormat="1" applyFont="1" applyBorder="1"/>
    <xf numFmtId="164" fontId="12" fillId="6" borderId="3" xfId="1" applyNumberFormat="1" applyFont="1" applyFill="1" applyBorder="1"/>
    <xf numFmtId="164" fontId="12" fillId="0" borderId="3" xfId="1" applyNumberFormat="1" applyFont="1" applyBorder="1"/>
    <xf numFmtId="164" fontId="12" fillId="14" borderId="0" xfId="1" applyNumberFormat="1" applyFont="1" applyFill="1" applyBorder="1"/>
    <xf numFmtId="164" fontId="12" fillId="0" borderId="4" xfId="1" applyNumberFormat="1" applyFont="1" applyBorder="1"/>
    <xf numFmtId="164" fontId="11" fillId="0" borderId="5" xfId="1" applyNumberFormat="1" applyFont="1" applyBorder="1"/>
    <xf numFmtId="164" fontId="11" fillId="0" borderId="0" xfId="1" applyNumberFormat="1" applyFont="1"/>
    <xf numFmtId="164" fontId="0" fillId="0" borderId="0" xfId="1" applyNumberFormat="1" applyFont="1"/>
    <xf numFmtId="164" fontId="12" fillId="10" borderId="0" xfId="1" applyNumberFormat="1" applyFont="1" applyFill="1"/>
    <xf numFmtId="164" fontId="0" fillId="0" borderId="0" xfId="0" applyNumberFormat="1"/>
    <xf numFmtId="164" fontId="12" fillId="5" borderId="0" xfId="1" applyNumberFormat="1" applyFont="1" applyFill="1"/>
    <xf numFmtId="164" fontId="12" fillId="17" borderId="0" xfId="1" applyNumberFormat="1" applyFont="1" applyFill="1"/>
    <xf numFmtId="164" fontId="12" fillId="16" borderId="0" xfId="1" applyNumberFormat="1" applyFont="1" applyFill="1"/>
    <xf numFmtId="164" fontId="12" fillId="0" borderId="0" xfId="1" applyNumberFormat="1" applyFont="1" applyFill="1"/>
    <xf numFmtId="164" fontId="12" fillId="19" borderId="2" xfId="1" applyNumberFormat="1" applyFont="1" applyFill="1" applyBorder="1"/>
    <xf numFmtId="164" fontId="12" fillId="19" borderId="0" xfId="1" applyNumberFormat="1" applyFont="1" applyFill="1"/>
    <xf numFmtId="164" fontId="12" fillId="0" borderId="0" xfId="1" applyNumberFormat="1" applyFont="1" applyFill="1" applyBorder="1"/>
    <xf numFmtId="164" fontId="0" fillId="0" borderId="15" xfId="1" applyNumberFormat="1" applyFont="1" applyBorder="1"/>
    <xf numFmtId="164" fontId="0" fillId="0" borderId="4" xfId="1" applyNumberFormat="1" applyFont="1" applyBorder="1"/>
    <xf numFmtId="0" fontId="0" fillId="0" borderId="16" xfId="0" applyBorder="1"/>
    <xf numFmtId="164" fontId="0" fillId="0" borderId="17" xfId="1" applyNumberFormat="1" applyFont="1" applyBorder="1"/>
    <xf numFmtId="164" fontId="0" fillId="0" borderId="0" xfId="1" applyNumberFormat="1" applyFont="1" applyBorder="1"/>
    <xf numFmtId="0" fontId="0" fillId="0" borderId="18" xfId="0" applyBorder="1"/>
    <xf numFmtId="164" fontId="0" fillId="5" borderId="19" xfId="1" applyNumberFormat="1" applyFont="1" applyFill="1" applyBorder="1"/>
    <xf numFmtId="164" fontId="0" fillId="5" borderId="2" xfId="1" applyNumberFormat="1" applyFont="1" applyFill="1" applyBorder="1"/>
    <xf numFmtId="0" fontId="0" fillId="0" borderId="20" xfId="0" applyBorder="1"/>
    <xf numFmtId="166" fontId="5" fillId="8" borderId="0" xfId="0" applyNumberFormat="1" applyFont="1" applyFill="1" applyAlignment="1">
      <alignment horizontal="center"/>
    </xf>
    <xf numFmtId="164" fontId="26" fillId="8" borderId="0" xfId="1" applyNumberFormat="1" applyFont="1" applyFill="1"/>
    <xf numFmtId="164" fontId="27" fillId="8" borderId="0" xfId="1" applyNumberFormat="1" applyFont="1" applyFill="1"/>
    <xf numFmtId="0" fontId="26" fillId="8" borderId="0" xfId="0" applyFont="1" applyFill="1"/>
    <xf numFmtId="164" fontId="25" fillId="8" borderId="0" xfId="1" applyNumberFormat="1" applyFont="1" applyFill="1"/>
    <xf numFmtId="164" fontId="28" fillId="8" borderId="0" xfId="1" applyNumberFormat="1" applyFont="1" applyFill="1"/>
    <xf numFmtId="164" fontId="29" fillId="8" borderId="0" xfId="1" applyNumberFormat="1" applyFont="1" applyFill="1"/>
    <xf numFmtId="164" fontId="31" fillId="8" borderId="0" xfId="0" applyNumberFormat="1" applyFont="1" applyFill="1"/>
    <xf numFmtId="164" fontId="30" fillId="8" borderId="0" xfId="1" applyNumberFormat="1" applyFont="1" applyFill="1"/>
    <xf numFmtId="0" fontId="32" fillId="0" borderId="0" xfId="0" applyFont="1"/>
    <xf numFmtId="0" fontId="33" fillId="0" borderId="0" xfId="0" applyFont="1"/>
    <xf numFmtId="49" fontId="33" fillId="0" borderId="0" xfId="0" applyNumberFormat="1" applyFont="1"/>
    <xf numFmtId="49" fontId="32" fillId="0" borderId="0" xfId="0" applyNumberFormat="1" applyFont="1" applyAlignment="1">
      <alignment horizontal="centerContinuous"/>
    </xf>
    <xf numFmtId="0" fontId="32" fillId="0" borderId="0" xfId="0" applyFont="1" applyAlignment="1">
      <alignment horizontal="center"/>
    </xf>
    <xf numFmtId="49" fontId="33" fillId="0" borderId="0" xfId="0" applyNumberFormat="1" applyFont="1" applyAlignment="1">
      <alignment horizontal="center"/>
    </xf>
    <xf numFmtId="40" fontId="34" fillId="0" borderId="0" xfId="0" applyNumberFormat="1" applyFont="1"/>
    <xf numFmtId="49" fontId="34" fillId="0" borderId="0" xfId="0" applyNumberFormat="1" applyFont="1"/>
    <xf numFmtId="165" fontId="33" fillId="0" borderId="0" xfId="0" applyNumberFormat="1" applyFont="1"/>
    <xf numFmtId="40" fontId="33" fillId="0" borderId="0" xfId="0" applyNumberFormat="1" applyFont="1"/>
    <xf numFmtId="165" fontId="34" fillId="0" borderId="0" xfId="0" applyNumberFormat="1" applyFont="1"/>
    <xf numFmtId="40" fontId="32" fillId="0" borderId="0" xfId="0" applyNumberFormat="1" applyFont="1"/>
    <xf numFmtId="38" fontId="32" fillId="0" borderId="0" xfId="0" applyNumberFormat="1" applyFont="1"/>
    <xf numFmtId="38" fontId="32" fillId="0" borderId="0" xfId="0" applyNumberFormat="1" applyFont="1" applyAlignment="1">
      <alignment horizontal="centerContinuous"/>
    </xf>
    <xf numFmtId="38" fontId="33" fillId="0" borderId="21" xfId="0" applyNumberFormat="1" applyFont="1" applyBorder="1" applyAlignment="1">
      <alignment horizontal="center"/>
    </xf>
    <xf numFmtId="49" fontId="36" fillId="0" borderId="0" xfId="0" applyNumberFormat="1" applyFont="1"/>
    <xf numFmtId="38" fontId="34" fillId="0" borderId="0" xfId="0" applyNumberFormat="1" applyFont="1"/>
    <xf numFmtId="38" fontId="34" fillId="0" borderId="22" xfId="0" applyNumberFormat="1" applyFont="1" applyBorder="1"/>
    <xf numFmtId="38" fontId="34" fillId="0" borderId="23" xfId="0" applyNumberFormat="1" applyFont="1" applyBorder="1"/>
    <xf numFmtId="49" fontId="35" fillId="0" borderId="0" xfId="0" applyNumberFormat="1" applyFont="1"/>
    <xf numFmtId="49" fontId="36" fillId="0" borderId="0" xfId="0" applyNumberFormat="1" applyFont="1" applyAlignment="1">
      <alignment horizontal="right"/>
    </xf>
    <xf numFmtId="38" fontId="34" fillId="0" borderId="24" xfId="0" applyNumberFormat="1" applyFont="1" applyBorder="1"/>
    <xf numFmtId="38" fontId="33" fillId="0" borderId="25" xfId="0" applyNumberFormat="1" applyFont="1" applyBorder="1"/>
    <xf numFmtId="49" fontId="33" fillId="0" borderId="21" xfId="0" applyNumberFormat="1" applyFont="1" applyBorder="1" applyAlignment="1">
      <alignment horizontal="center"/>
    </xf>
    <xf numFmtId="164" fontId="34" fillId="0" borderId="0" xfId="0" applyNumberFormat="1" applyFont="1"/>
    <xf numFmtId="164" fontId="32" fillId="0" borderId="0" xfId="0" applyNumberFormat="1" applyFont="1"/>
    <xf numFmtId="164" fontId="34" fillId="0" borderId="22" xfId="0" applyNumberFormat="1" applyFont="1" applyBorder="1"/>
    <xf numFmtId="49" fontId="37" fillId="0" borderId="0" xfId="0" applyNumberFormat="1" applyFont="1" applyAlignment="1">
      <alignment horizontal="right"/>
    </xf>
    <xf numFmtId="164" fontId="34" fillId="0" borderId="24" xfId="0" applyNumberFormat="1" applyFont="1" applyBorder="1"/>
    <xf numFmtId="164" fontId="34" fillId="0" borderId="23" xfId="0" applyNumberFormat="1" applyFont="1" applyBorder="1"/>
    <xf numFmtId="164" fontId="33" fillId="0" borderId="25" xfId="0" applyNumberFormat="1" applyFont="1" applyBorder="1"/>
    <xf numFmtId="164" fontId="33" fillId="0" borderId="0" xfId="0" applyNumberFormat="1" applyFont="1"/>
    <xf numFmtId="49" fontId="37" fillId="0" borderId="0" xfId="0" applyNumberFormat="1" applyFont="1"/>
    <xf numFmtId="49" fontId="32" fillId="0" borderId="0" xfId="0" applyNumberFormat="1" applyFont="1" applyAlignment="1">
      <alignment horizontal="center"/>
    </xf>
    <xf numFmtId="49" fontId="33" fillId="0" borderId="26" xfId="0" applyNumberFormat="1" applyFont="1" applyBorder="1" applyAlignment="1">
      <alignment horizontal="center"/>
    </xf>
    <xf numFmtId="40" fontId="34" fillId="0" borderId="22" xfId="0" applyNumberFormat="1" applyFont="1" applyBorder="1"/>
    <xf numFmtId="49" fontId="32" fillId="0" borderId="0" xfId="0" applyNumberFormat="1" applyFont="1"/>
    <xf numFmtId="40" fontId="34" fillId="0" borderId="23" xfId="0" applyNumberFormat="1" applyFont="1" applyBorder="1"/>
    <xf numFmtId="40" fontId="34" fillId="0" borderId="24" xfId="0" applyNumberFormat="1" applyFont="1" applyBorder="1"/>
    <xf numFmtId="40" fontId="33" fillId="0" borderId="25" xfId="0" applyNumberFormat="1" applyFont="1" applyBorder="1"/>
    <xf numFmtId="49" fontId="38" fillId="0" borderId="0" xfId="0" applyNumberFormat="1" applyFont="1"/>
    <xf numFmtId="49" fontId="38" fillId="0" borderId="0" xfId="0" applyNumberFormat="1" applyFont="1" applyAlignment="1">
      <alignment horizontal="right"/>
    </xf>
    <xf numFmtId="49" fontId="39" fillId="0" borderId="0" xfId="0" applyNumberFormat="1" applyFont="1"/>
    <xf numFmtId="0" fontId="40" fillId="0" borderId="0" xfId="0" applyFont="1"/>
    <xf numFmtId="49" fontId="41" fillId="0" borderId="0" xfId="0" applyNumberFormat="1" applyFont="1" applyAlignment="1">
      <alignment horizontal="right"/>
    </xf>
    <xf numFmtId="49" fontId="41" fillId="0" borderId="0" xfId="0" applyNumberFormat="1" applyFont="1"/>
    <xf numFmtId="164" fontId="25" fillId="8" borderId="0" xfId="1" applyNumberFormat="1" applyFont="1" applyFill="1" applyBorder="1"/>
    <xf numFmtId="164" fontId="26" fillId="8" borderId="0" xfId="1" applyNumberFormat="1" applyFont="1" applyFill="1" applyBorder="1"/>
    <xf numFmtId="40" fontId="0" fillId="0" borderId="0" xfId="0" applyNumberFormat="1"/>
    <xf numFmtId="49" fontId="0" fillId="0" borderId="0" xfId="0" applyNumberFormat="1" applyAlignment="1">
      <alignment horizontal="centerContinuous"/>
    </xf>
    <xf numFmtId="167" fontId="12" fillId="0" borderId="0" xfId="0" applyNumberFormat="1" applyFont="1"/>
    <xf numFmtId="40" fontId="12" fillId="0" borderId="28" xfId="0" applyNumberFormat="1" applyFont="1" applyBorder="1"/>
    <xf numFmtId="167" fontId="12" fillId="0" borderId="28" xfId="0" applyNumberFormat="1" applyFont="1" applyBorder="1"/>
    <xf numFmtId="40" fontId="12" fillId="0" borderId="29" xfId="0" applyNumberFormat="1" applyFont="1" applyBorder="1"/>
    <xf numFmtId="167" fontId="12" fillId="0" borderId="29" xfId="0" applyNumberFormat="1" applyFont="1" applyBorder="1"/>
    <xf numFmtId="40" fontId="12" fillId="0" borderId="30" xfId="0" applyNumberFormat="1" applyFont="1" applyBorder="1"/>
    <xf numFmtId="167" fontId="12" fillId="0" borderId="30" xfId="0" applyNumberFormat="1" applyFont="1" applyBorder="1"/>
    <xf numFmtId="40" fontId="11" fillId="0" borderId="31" xfId="0" applyNumberFormat="1" applyFont="1" applyBorder="1"/>
    <xf numFmtId="167" fontId="11" fillId="0" borderId="31" xfId="0" applyNumberFormat="1" applyFont="1" applyBorder="1"/>
    <xf numFmtId="49" fontId="11" fillId="0" borderId="27" xfId="0" applyNumberFormat="1" applyFont="1" applyBorder="1" applyAlignment="1">
      <alignment horizontal="center"/>
    </xf>
    <xf numFmtId="40" fontId="12" fillId="12" borderId="0" xfId="0" applyNumberFormat="1" applyFont="1" applyFill="1"/>
    <xf numFmtId="40" fontId="12" fillId="12" borderId="28" xfId="0" applyNumberFormat="1" applyFont="1" applyFill="1" applyBorder="1"/>
    <xf numFmtId="168" fontId="0" fillId="8" borderId="0" xfId="0" applyNumberFormat="1" applyFill="1"/>
    <xf numFmtId="0" fontId="5" fillId="8" borderId="13" xfId="0" applyFont="1" applyFill="1" applyBorder="1" applyAlignment="1">
      <alignment horizontal="center"/>
    </xf>
    <xf numFmtId="0" fontId="5" fillId="8" borderId="14" xfId="0" applyFont="1" applyFill="1" applyBorder="1" applyAlignment="1">
      <alignment horizontal="center"/>
    </xf>
  </cellXfs>
  <cellStyles count="5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  <cellStyle name="Normal 2 3" xfId="4" xr:uid="{D7AFC0C7-0100-4E16-938C-514B93382139}"/>
  </cellStyles>
  <dxfs count="0"/>
  <tableStyles count="0" defaultTableStyle="TableStyleMedium9" defaultPivotStyle="PivotStyleLight16"/>
  <colors>
    <mruColors>
      <color rgb="FF0000CC"/>
      <color rgb="FFFFFF99"/>
      <color rgb="FF000099"/>
      <color rgb="FF00FFFF"/>
      <color rgb="FF6699FF"/>
      <color rgb="FF33CC33"/>
      <color rgb="FFFF99CC"/>
      <color rgb="FFFF99FF"/>
      <color rgb="FF99FF99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114300</xdr:colOff>
          <xdr:row>1</xdr:row>
          <xdr:rowOff>28575</xdr:rowOff>
        </xdr:to>
        <xdr:sp macro="" textlink="">
          <xdr:nvSpPr>
            <xdr:cNvPr id="5121" name="FILTER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9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114300</xdr:colOff>
          <xdr:row>1</xdr:row>
          <xdr:rowOff>28575</xdr:rowOff>
        </xdr:to>
        <xdr:sp macro="" textlink="">
          <xdr:nvSpPr>
            <xdr:cNvPr id="5122" name="HEADER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9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wner/Documents/Budget%20-%20Parish-Church/Budget%202015-2016%20arc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PG 1"/>
      <sheetName val="BUDGET PG 2"/>
      <sheetName val="BUDGET PG 3"/>
      <sheetName val="BUDGET PG 4"/>
      <sheetName val="BUDGET PG 5"/>
      <sheetName val="A-C #2430"/>
      <sheetName val="A-C #2450"/>
      <sheetName val="Tuition PAR"/>
      <sheetName val="Tuition Cath NP"/>
      <sheetName val="Tuition NCath"/>
      <sheetName val="Tuition-Other"/>
      <sheetName val="A-C #4430"/>
      <sheetName val="A-C #4440"/>
      <sheetName val="A-C #4445"/>
      <sheetName val="A-C #4450"/>
      <sheetName val="A-C #6430"/>
      <sheetName val="A-C #6450"/>
      <sheetName val="Sheet1"/>
      <sheetName val="Sheet2"/>
      <sheetName val="Sheet3"/>
    </sheetNames>
    <sheetDataSet>
      <sheetData sheetId="0">
        <row r="3">
          <cell r="A3" t="str">
            <v>for PARISH NAME</v>
          </cell>
        </row>
        <row r="4">
          <cell r="A4" t="str">
            <v>FOR THE FISCAL YEAR ENDING JUNE 30, 2016</v>
          </cell>
        </row>
      </sheetData>
      <sheetData sheetId="1">
        <row r="55">
          <cell r="C55">
            <v>223899</v>
          </cell>
          <cell r="E55">
            <v>292771.92000000004</v>
          </cell>
          <cell r="G55">
            <v>253420.75450000004</v>
          </cell>
        </row>
      </sheetData>
      <sheetData sheetId="2">
        <row r="57">
          <cell r="C57">
            <v>-134162</v>
          </cell>
          <cell r="E57">
            <v>-108906.60999999999</v>
          </cell>
          <cell r="G57">
            <v>-116017.63949999999</v>
          </cell>
        </row>
      </sheetData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Kathleen Werner" id="{C5775F4B-164C-4557-82C6-B0D45BC7ED08}" userId="8f64b2dd21b7f0ea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72" dT="2022-08-26T17:49:23.35" personId="{C5775F4B-164C-4557-82C6-B0D45BC7ED08}" id="{78535075-9B62-4144-8413-5DC4866E8CDB}">
    <text>Included balance in Retained Earnings for reporting - 4Q loan payment not due until July but paid and cleared in June to end loan, invoice date is later than pmt date due to timing of payments</text>
  </threadedComment>
</ThreadedComment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6">
    <tabColor rgb="FFFF0000"/>
  </sheetPr>
  <dimension ref="A1:P259"/>
  <sheetViews>
    <sheetView topLeftCell="C225" workbookViewId="0">
      <selection activeCell="H258" sqref="H258"/>
    </sheetView>
  </sheetViews>
  <sheetFormatPr defaultRowHeight="15"/>
  <cols>
    <col min="1" max="2" width="0" hidden="1" customWidth="1"/>
    <col min="7" max="7" width="22.85546875" customWidth="1"/>
    <col min="8" max="8" width="10.5703125" bestFit="1" customWidth="1"/>
    <col min="9" max="9" width="13.5703125" bestFit="1" customWidth="1"/>
    <col min="11" max="11" width="19.42578125" bestFit="1" customWidth="1"/>
    <col min="12" max="12" width="14" style="85" bestFit="1" customWidth="1"/>
    <col min="13" max="13" width="26" customWidth="1"/>
  </cols>
  <sheetData>
    <row r="1" spans="1:12" ht="15.75" thickBot="1">
      <c r="A1" s="4"/>
      <c r="B1" s="4"/>
      <c r="C1" s="4"/>
      <c r="D1" s="4"/>
      <c r="E1" s="4"/>
      <c r="F1" s="4"/>
      <c r="G1" s="4"/>
      <c r="H1" s="67"/>
      <c r="I1" s="67"/>
      <c r="J1" s="67"/>
    </row>
    <row r="2" spans="1:12" ht="16.5" thickTop="1" thickBot="1">
      <c r="A2" s="1"/>
      <c r="B2" s="1"/>
      <c r="C2" s="1"/>
      <c r="D2" s="1"/>
      <c r="E2" s="1"/>
      <c r="F2" s="1"/>
      <c r="G2" s="1"/>
      <c r="H2" s="68" t="s">
        <v>395</v>
      </c>
      <c r="I2" s="68" t="s">
        <v>74</v>
      </c>
      <c r="J2" s="68" t="s">
        <v>374</v>
      </c>
      <c r="K2" s="69"/>
      <c r="L2" s="69"/>
    </row>
    <row r="3" spans="1:12" ht="15.75" thickTop="1">
      <c r="A3" s="4"/>
      <c r="B3" s="4"/>
      <c r="C3" s="4" t="s">
        <v>75</v>
      </c>
      <c r="D3" s="4"/>
      <c r="E3" s="4"/>
      <c r="F3" s="4"/>
      <c r="G3" s="4"/>
      <c r="H3" s="70"/>
      <c r="I3" s="70"/>
      <c r="J3" s="70"/>
    </row>
    <row r="4" spans="1:12">
      <c r="A4" s="4"/>
      <c r="B4" s="4"/>
      <c r="C4" s="4"/>
      <c r="D4" s="4" t="s">
        <v>76</v>
      </c>
      <c r="E4" s="4"/>
      <c r="F4" s="4"/>
      <c r="G4" s="4"/>
      <c r="H4" s="70"/>
      <c r="I4" s="70"/>
      <c r="J4" s="70"/>
    </row>
    <row r="5" spans="1:12">
      <c r="A5" s="4"/>
      <c r="B5" s="4"/>
      <c r="C5" s="4"/>
      <c r="D5" s="4"/>
      <c r="E5" s="4" t="s">
        <v>77</v>
      </c>
      <c r="F5" s="4"/>
      <c r="G5" s="4"/>
      <c r="H5" s="70"/>
      <c r="I5" s="70"/>
      <c r="J5" s="70"/>
    </row>
    <row r="6" spans="1:12">
      <c r="A6" s="4"/>
      <c r="B6" s="4"/>
      <c r="C6" s="4"/>
      <c r="D6" s="4"/>
      <c r="E6" s="4"/>
      <c r="F6" s="4" t="s">
        <v>78</v>
      </c>
      <c r="G6" s="4"/>
      <c r="H6" s="70">
        <v>311711.93</v>
      </c>
      <c r="I6" s="70">
        <v>801162.01</v>
      </c>
      <c r="J6" s="70">
        <v>-489450.08</v>
      </c>
    </row>
    <row r="7" spans="1:12" ht="15.75" thickBot="1">
      <c r="A7" s="4"/>
      <c r="B7" s="4"/>
      <c r="C7" s="4"/>
      <c r="D7" s="4"/>
      <c r="E7" s="4"/>
      <c r="F7" s="4" t="s">
        <v>396</v>
      </c>
      <c r="G7" s="4"/>
      <c r="H7" s="71">
        <v>481763.87</v>
      </c>
      <c r="I7" s="71">
        <v>0</v>
      </c>
      <c r="J7" s="71">
        <v>481763.87</v>
      </c>
    </row>
    <row r="8" spans="1:12">
      <c r="A8" s="4"/>
      <c r="B8" s="4"/>
      <c r="C8" s="4"/>
      <c r="D8" s="4"/>
      <c r="E8" s="4" t="s">
        <v>79</v>
      </c>
      <c r="F8" s="4"/>
      <c r="G8" s="4"/>
      <c r="H8" s="72">
        <v>793475.8</v>
      </c>
      <c r="I8" s="72">
        <v>801162.01</v>
      </c>
      <c r="J8" s="70">
        <v>-7686.21</v>
      </c>
    </row>
    <row r="9" spans="1:12">
      <c r="A9" s="4"/>
      <c r="B9" s="4"/>
      <c r="C9" s="4"/>
      <c r="D9" s="4"/>
      <c r="E9" s="4" t="s">
        <v>80</v>
      </c>
      <c r="F9" s="4"/>
      <c r="G9" s="4"/>
      <c r="H9" s="70"/>
      <c r="I9" s="70"/>
      <c r="J9" s="70"/>
    </row>
    <row r="10" spans="1:12">
      <c r="A10" s="4"/>
      <c r="B10" s="4"/>
      <c r="C10" s="4"/>
      <c r="D10" s="4"/>
      <c r="E10" s="4"/>
      <c r="F10" s="4" t="s">
        <v>81</v>
      </c>
      <c r="G10" s="4"/>
      <c r="H10" s="70">
        <v>35012.28</v>
      </c>
      <c r="I10" s="70">
        <v>32363.67</v>
      </c>
      <c r="J10" s="70">
        <v>2648.61</v>
      </c>
    </row>
    <row r="11" spans="1:12">
      <c r="A11" s="4"/>
      <c r="B11" s="4"/>
      <c r="C11" s="4"/>
      <c r="D11" s="4"/>
      <c r="E11" s="4"/>
      <c r="F11" s="4" t="s">
        <v>82</v>
      </c>
      <c r="G11" s="4"/>
      <c r="H11" s="70">
        <v>17905.150000000001</v>
      </c>
      <c r="I11" s="70">
        <v>23101.15</v>
      </c>
      <c r="J11" s="70">
        <v>-5196</v>
      </c>
    </row>
    <row r="12" spans="1:12">
      <c r="A12" s="4"/>
      <c r="B12" s="4"/>
      <c r="C12" s="4"/>
      <c r="D12" s="4"/>
      <c r="E12" s="4"/>
      <c r="F12" s="4" t="s">
        <v>83</v>
      </c>
      <c r="G12" s="4"/>
      <c r="H12" s="70">
        <v>7622.95</v>
      </c>
      <c r="I12" s="70">
        <v>8525.44</v>
      </c>
      <c r="J12" s="70">
        <v>-902.49</v>
      </c>
    </row>
    <row r="13" spans="1:12">
      <c r="A13" s="4"/>
      <c r="B13" s="4"/>
      <c r="C13" s="4"/>
      <c r="D13" s="4"/>
      <c r="E13" s="4"/>
      <c r="F13" s="4" t="s">
        <v>84</v>
      </c>
      <c r="G13" s="4"/>
      <c r="H13" s="70">
        <v>44850.51</v>
      </c>
      <c r="I13" s="70">
        <v>43542</v>
      </c>
      <c r="J13" s="70">
        <v>1308.51</v>
      </c>
    </row>
    <row r="14" spans="1:12">
      <c r="A14" s="4"/>
      <c r="B14" s="4"/>
      <c r="C14" s="4"/>
      <c r="D14" s="4"/>
      <c r="E14" s="4"/>
      <c r="F14" s="4" t="s">
        <v>85</v>
      </c>
      <c r="G14" s="4"/>
      <c r="H14" s="70">
        <v>4129.8999999999996</v>
      </c>
      <c r="I14" s="70">
        <v>3010</v>
      </c>
      <c r="J14" s="70">
        <v>1119.9000000000001</v>
      </c>
    </row>
    <row r="15" spans="1:12" ht="15.75" thickBot="1">
      <c r="A15" s="4"/>
      <c r="B15" s="4"/>
      <c r="C15" s="4"/>
      <c r="D15" s="4"/>
      <c r="E15" s="4"/>
      <c r="F15" s="4" t="s">
        <v>86</v>
      </c>
      <c r="G15" s="4"/>
      <c r="H15" s="71">
        <v>6102</v>
      </c>
      <c r="I15" s="71">
        <v>7867.05</v>
      </c>
      <c r="J15" s="71">
        <v>-1765.05</v>
      </c>
    </row>
    <row r="16" spans="1:12">
      <c r="A16" s="4"/>
      <c r="B16" s="4"/>
      <c r="C16" s="4"/>
      <c r="D16" s="4"/>
      <c r="E16" s="4" t="s">
        <v>87</v>
      </c>
      <c r="F16" s="4"/>
      <c r="G16" s="4"/>
      <c r="H16" s="72">
        <v>115622.79</v>
      </c>
      <c r="I16" s="72">
        <v>118409.31</v>
      </c>
      <c r="J16" s="70">
        <v>-2786.52</v>
      </c>
    </row>
    <row r="17" spans="1:10">
      <c r="A17" s="4"/>
      <c r="B17" s="4"/>
      <c r="C17" s="4"/>
      <c r="D17" s="4"/>
      <c r="E17" s="4" t="s">
        <v>88</v>
      </c>
      <c r="F17" s="4"/>
      <c r="G17" s="4"/>
      <c r="H17" s="70"/>
      <c r="I17" s="70"/>
      <c r="J17" s="70"/>
    </row>
    <row r="18" spans="1:10">
      <c r="A18" s="4"/>
      <c r="B18" s="4"/>
      <c r="C18" s="4"/>
      <c r="D18" s="4"/>
      <c r="E18" s="4"/>
      <c r="F18" s="4" t="s">
        <v>89</v>
      </c>
      <c r="G18" s="4"/>
      <c r="H18" s="70">
        <v>11010</v>
      </c>
      <c r="I18" s="70">
        <v>7700</v>
      </c>
      <c r="J18" s="70">
        <v>3310</v>
      </c>
    </row>
    <row r="19" spans="1:10">
      <c r="A19" s="4"/>
      <c r="B19" s="4"/>
      <c r="C19" s="4"/>
      <c r="D19" s="4"/>
      <c r="E19" s="4"/>
      <c r="F19" s="4" t="s">
        <v>90</v>
      </c>
      <c r="G19" s="4"/>
      <c r="H19" s="70">
        <v>555</v>
      </c>
      <c r="I19" s="70">
        <v>950</v>
      </c>
      <c r="J19" s="70">
        <v>-395</v>
      </c>
    </row>
    <row r="20" spans="1:10">
      <c r="A20" s="4"/>
      <c r="B20" s="4"/>
      <c r="C20" s="4"/>
      <c r="D20" s="4"/>
      <c r="E20" s="4"/>
      <c r="F20" s="4" t="s">
        <v>91</v>
      </c>
      <c r="G20" s="4"/>
      <c r="H20" s="70">
        <v>4175</v>
      </c>
      <c r="I20" s="70">
        <v>4175</v>
      </c>
      <c r="J20" s="70">
        <v>0</v>
      </c>
    </row>
    <row r="21" spans="1:10" ht="15.75" thickBot="1">
      <c r="A21" s="4"/>
      <c r="B21" s="4"/>
      <c r="C21" s="4"/>
      <c r="D21" s="4"/>
      <c r="E21" s="4"/>
      <c r="F21" s="4" t="s">
        <v>397</v>
      </c>
      <c r="G21" s="4"/>
      <c r="H21" s="71">
        <v>900</v>
      </c>
      <c r="I21" s="71">
        <v>0</v>
      </c>
      <c r="J21" s="71">
        <v>900</v>
      </c>
    </row>
    <row r="22" spans="1:10">
      <c r="A22" s="4"/>
      <c r="B22" s="4"/>
      <c r="C22" s="4"/>
      <c r="D22" s="4"/>
      <c r="E22" s="4" t="s">
        <v>92</v>
      </c>
      <c r="F22" s="4"/>
      <c r="G22" s="4"/>
      <c r="H22" s="73">
        <v>16640</v>
      </c>
      <c r="I22" s="73">
        <v>12825</v>
      </c>
      <c r="J22" s="70">
        <v>3815</v>
      </c>
    </row>
    <row r="23" spans="1:10">
      <c r="A23" s="4"/>
      <c r="B23" s="4"/>
      <c r="C23" s="4"/>
      <c r="D23" s="4"/>
      <c r="E23" s="4" t="s">
        <v>93</v>
      </c>
      <c r="F23" s="4"/>
      <c r="G23" s="4"/>
      <c r="H23" s="70"/>
      <c r="I23" s="70"/>
      <c r="J23" s="70"/>
    </row>
    <row r="24" spans="1:10">
      <c r="A24" s="4"/>
      <c r="B24" s="4"/>
      <c r="C24" s="4"/>
      <c r="D24" s="4"/>
      <c r="E24" s="4"/>
      <c r="F24" s="4" t="s">
        <v>94</v>
      </c>
      <c r="G24" s="4"/>
      <c r="H24" s="70">
        <v>1905.12</v>
      </c>
      <c r="I24" s="70">
        <v>2210.92</v>
      </c>
      <c r="J24" s="70">
        <v>-305.8</v>
      </c>
    </row>
    <row r="25" spans="1:10">
      <c r="A25" s="4"/>
      <c r="B25" s="4"/>
      <c r="C25" s="4"/>
      <c r="D25" s="4"/>
      <c r="E25" s="4"/>
      <c r="F25" s="4" t="s">
        <v>95</v>
      </c>
      <c r="G25" s="4"/>
      <c r="H25" s="70">
        <v>0</v>
      </c>
      <c r="I25" s="70">
        <v>569</v>
      </c>
      <c r="J25" s="70">
        <v>-569</v>
      </c>
    </row>
    <row r="26" spans="1:10">
      <c r="A26" s="4"/>
      <c r="B26" s="4"/>
      <c r="C26" s="4"/>
      <c r="D26" s="4"/>
      <c r="E26" s="4"/>
      <c r="F26" s="4" t="s">
        <v>96</v>
      </c>
      <c r="G26" s="4"/>
      <c r="H26" s="70">
        <v>15356.85</v>
      </c>
      <c r="I26" s="70">
        <v>17999.63</v>
      </c>
      <c r="J26" s="70">
        <v>-2642.78</v>
      </c>
    </row>
    <row r="27" spans="1:10">
      <c r="A27" s="4"/>
      <c r="B27" s="4"/>
      <c r="C27" s="4"/>
      <c r="D27" s="4"/>
      <c r="E27" s="4"/>
      <c r="F27" s="4" t="s">
        <v>97</v>
      </c>
      <c r="G27" s="4"/>
      <c r="H27" s="70">
        <v>2430</v>
      </c>
      <c r="I27" s="70">
        <v>1970</v>
      </c>
      <c r="J27" s="70">
        <v>460</v>
      </c>
    </row>
    <row r="28" spans="1:10">
      <c r="A28" s="4"/>
      <c r="B28" s="4"/>
      <c r="C28" s="4"/>
      <c r="D28" s="4"/>
      <c r="E28" s="4"/>
      <c r="F28" s="4" t="s">
        <v>398</v>
      </c>
      <c r="G28" s="4"/>
      <c r="H28" s="70">
        <v>1807</v>
      </c>
      <c r="I28" s="70">
        <v>0</v>
      </c>
      <c r="J28" s="70">
        <v>1807</v>
      </c>
    </row>
    <row r="29" spans="1:10">
      <c r="A29" s="4"/>
      <c r="B29" s="4"/>
      <c r="C29" s="4"/>
      <c r="D29" s="4"/>
      <c r="E29" s="4"/>
      <c r="F29" s="4" t="s">
        <v>399</v>
      </c>
      <c r="G29" s="4"/>
      <c r="H29" s="70">
        <v>51</v>
      </c>
      <c r="I29" s="70">
        <v>0</v>
      </c>
      <c r="J29" s="70">
        <v>51</v>
      </c>
    </row>
    <row r="30" spans="1:10">
      <c r="A30" s="4"/>
      <c r="B30" s="4"/>
      <c r="C30" s="4"/>
      <c r="D30" s="4"/>
      <c r="E30" s="4"/>
      <c r="F30" s="4" t="s">
        <v>98</v>
      </c>
      <c r="G30" s="4"/>
      <c r="H30" s="70">
        <v>836</v>
      </c>
      <c r="I30" s="70">
        <v>1136.8</v>
      </c>
      <c r="J30" s="70">
        <v>-300.8</v>
      </c>
    </row>
    <row r="31" spans="1:10">
      <c r="A31" s="4"/>
      <c r="B31" s="4"/>
      <c r="C31" s="4"/>
      <c r="D31" s="4"/>
      <c r="E31" s="4"/>
      <c r="F31" s="4" t="s">
        <v>378</v>
      </c>
      <c r="G31" s="4"/>
      <c r="H31" s="70">
        <v>50</v>
      </c>
      <c r="I31" s="70">
        <v>0</v>
      </c>
      <c r="J31" s="70">
        <v>50</v>
      </c>
    </row>
    <row r="32" spans="1:10">
      <c r="A32" s="4"/>
      <c r="B32" s="4"/>
      <c r="C32" s="4"/>
      <c r="D32" s="4"/>
      <c r="E32" s="4"/>
      <c r="F32" s="4" t="s">
        <v>99</v>
      </c>
      <c r="G32" s="4"/>
      <c r="H32" s="70">
        <v>6218.42</v>
      </c>
      <c r="I32" s="70">
        <v>5558.1</v>
      </c>
      <c r="J32" s="70">
        <v>660.32</v>
      </c>
    </row>
    <row r="33" spans="1:10" ht="15.75" thickBot="1">
      <c r="A33" s="4"/>
      <c r="B33" s="4"/>
      <c r="C33" s="4"/>
      <c r="D33" s="4"/>
      <c r="E33" s="4"/>
      <c r="F33" s="4" t="s">
        <v>100</v>
      </c>
      <c r="G33" s="4"/>
      <c r="H33" s="71">
        <v>11993.05</v>
      </c>
      <c r="I33" s="71">
        <v>32217.79</v>
      </c>
      <c r="J33" s="71">
        <v>-20224.740000000002</v>
      </c>
    </row>
    <row r="34" spans="1:10">
      <c r="A34" s="4"/>
      <c r="B34" s="4"/>
      <c r="C34" s="4"/>
      <c r="D34" s="4"/>
      <c r="E34" s="4" t="s">
        <v>101</v>
      </c>
      <c r="F34" s="4"/>
      <c r="G34" s="4"/>
      <c r="H34" s="73">
        <v>40647.440000000002</v>
      </c>
      <c r="I34" s="73">
        <v>61662.239999999998</v>
      </c>
      <c r="J34" s="70">
        <v>-21014.799999999999</v>
      </c>
    </row>
    <row r="35" spans="1:10">
      <c r="A35" s="4"/>
      <c r="B35" s="4"/>
      <c r="C35" s="4"/>
      <c r="D35" s="4"/>
      <c r="E35" s="4" t="s">
        <v>102</v>
      </c>
      <c r="F35" s="4"/>
      <c r="G35" s="4"/>
      <c r="H35" s="70"/>
      <c r="I35" s="70"/>
      <c r="J35" s="70"/>
    </row>
    <row r="36" spans="1:10">
      <c r="A36" s="4"/>
      <c r="B36" s="4"/>
      <c r="C36" s="4"/>
      <c r="D36" s="4"/>
      <c r="E36" s="4"/>
      <c r="F36" s="4" t="s">
        <v>103</v>
      </c>
      <c r="G36" s="4"/>
      <c r="H36" s="70">
        <v>825</v>
      </c>
      <c r="I36" s="70">
        <v>275</v>
      </c>
      <c r="J36" s="70">
        <v>550</v>
      </c>
    </row>
    <row r="37" spans="1:10">
      <c r="A37" s="4"/>
      <c r="B37" s="4"/>
      <c r="C37" s="4"/>
      <c r="D37" s="4"/>
      <c r="E37" s="4"/>
      <c r="F37" s="4" t="s">
        <v>104</v>
      </c>
      <c r="G37" s="4"/>
      <c r="H37" s="70">
        <v>1085</v>
      </c>
      <c r="I37" s="70">
        <v>2600</v>
      </c>
      <c r="J37" s="70">
        <v>-1515</v>
      </c>
    </row>
    <row r="38" spans="1:10">
      <c r="A38" s="4"/>
      <c r="B38" s="4"/>
      <c r="C38" s="4"/>
      <c r="D38" s="4"/>
      <c r="E38" s="4"/>
      <c r="F38" s="4" t="s">
        <v>105</v>
      </c>
      <c r="G38" s="4"/>
      <c r="H38" s="70">
        <v>3470</v>
      </c>
      <c r="I38" s="70">
        <v>4085</v>
      </c>
      <c r="J38" s="70">
        <v>-615</v>
      </c>
    </row>
    <row r="39" spans="1:10">
      <c r="A39" s="4"/>
      <c r="B39" s="4"/>
      <c r="C39" s="4"/>
      <c r="D39" s="4"/>
      <c r="E39" s="4"/>
      <c r="F39" s="4" t="s">
        <v>106</v>
      </c>
      <c r="G39" s="4"/>
      <c r="H39" s="70">
        <v>2495</v>
      </c>
      <c r="I39" s="70">
        <v>3380</v>
      </c>
      <c r="J39" s="70">
        <v>-885</v>
      </c>
    </row>
    <row r="40" spans="1:10">
      <c r="A40" s="4"/>
      <c r="B40" s="4"/>
      <c r="C40" s="4"/>
      <c r="D40" s="4"/>
      <c r="E40" s="4"/>
      <c r="F40" s="4" t="s">
        <v>107</v>
      </c>
      <c r="G40" s="4"/>
      <c r="H40" s="70">
        <v>40507.64</v>
      </c>
      <c r="I40" s="70">
        <v>44544.88</v>
      </c>
      <c r="J40" s="70">
        <v>-4037.24</v>
      </c>
    </row>
    <row r="41" spans="1:10" ht="15.75" thickBot="1">
      <c r="A41" s="4"/>
      <c r="B41" s="4"/>
      <c r="C41" s="4"/>
      <c r="D41" s="4"/>
      <c r="E41" s="4"/>
      <c r="F41" s="4" t="s">
        <v>379</v>
      </c>
      <c r="G41" s="4"/>
      <c r="H41" s="71">
        <v>340</v>
      </c>
      <c r="I41" s="71">
        <v>0</v>
      </c>
      <c r="J41" s="71">
        <v>340</v>
      </c>
    </row>
    <row r="42" spans="1:10">
      <c r="A42" s="4"/>
      <c r="B42" s="4"/>
      <c r="C42" s="4"/>
      <c r="D42" s="4"/>
      <c r="E42" s="4" t="s">
        <v>108</v>
      </c>
      <c r="F42" s="4"/>
      <c r="G42" s="4"/>
      <c r="H42" s="74">
        <v>48722.64</v>
      </c>
      <c r="I42" s="74">
        <v>54884.88</v>
      </c>
      <c r="J42" s="70">
        <v>-6162.24</v>
      </c>
    </row>
    <row r="43" spans="1:10">
      <c r="A43" s="4"/>
      <c r="B43" s="4"/>
      <c r="C43" s="4"/>
      <c r="D43" s="4"/>
      <c r="E43" s="4" t="s">
        <v>400</v>
      </c>
      <c r="F43" s="4"/>
      <c r="G43" s="4"/>
      <c r="H43" s="75">
        <v>930.71</v>
      </c>
      <c r="I43" s="75">
        <v>0</v>
      </c>
      <c r="J43" s="70">
        <v>930.71</v>
      </c>
    </row>
    <row r="44" spans="1:10">
      <c r="A44" s="4"/>
      <c r="B44" s="4"/>
      <c r="C44" s="4"/>
      <c r="D44" s="4"/>
      <c r="E44" s="4" t="s">
        <v>109</v>
      </c>
      <c r="F44" s="4"/>
      <c r="G44" s="4"/>
      <c r="H44" s="75">
        <v>424.48</v>
      </c>
      <c r="I44" s="75">
        <v>35.369999999999997</v>
      </c>
      <c r="J44" s="70">
        <v>389.11</v>
      </c>
    </row>
    <row r="45" spans="1:10">
      <c r="A45" s="4"/>
      <c r="B45" s="4"/>
      <c r="C45" s="4"/>
      <c r="D45" s="4"/>
      <c r="E45" s="4" t="s">
        <v>401</v>
      </c>
      <c r="F45" s="4"/>
      <c r="G45" s="4"/>
      <c r="H45" s="75">
        <v>250</v>
      </c>
      <c r="I45" s="75">
        <v>0</v>
      </c>
      <c r="J45" s="70">
        <v>250</v>
      </c>
    </row>
    <row r="46" spans="1:10" ht="15.75" thickBot="1">
      <c r="A46" s="4"/>
      <c r="B46" s="4"/>
      <c r="C46" s="4"/>
      <c r="D46" s="4"/>
      <c r="E46" s="4" t="s">
        <v>110</v>
      </c>
      <c r="F46" s="4"/>
      <c r="G46" s="4"/>
      <c r="H46" s="76">
        <v>15294</v>
      </c>
      <c r="I46" s="76">
        <v>15348</v>
      </c>
      <c r="J46" s="71">
        <v>-54</v>
      </c>
    </row>
    <row r="47" spans="1:10">
      <c r="A47" s="4"/>
      <c r="B47" s="4"/>
      <c r="C47" s="4"/>
      <c r="D47" s="4" t="s">
        <v>111</v>
      </c>
      <c r="E47" s="4"/>
      <c r="F47" s="4"/>
      <c r="G47" s="4"/>
      <c r="H47" s="70">
        <v>1032007.86</v>
      </c>
      <c r="I47" s="70">
        <v>1064326.81</v>
      </c>
      <c r="J47" s="70">
        <v>-32318.95</v>
      </c>
    </row>
    <row r="48" spans="1:10">
      <c r="A48" s="4"/>
      <c r="B48" s="4"/>
      <c r="C48" s="4"/>
      <c r="D48" s="4" t="s">
        <v>112</v>
      </c>
      <c r="E48" s="4"/>
      <c r="F48" s="4"/>
      <c r="G48" s="4"/>
      <c r="H48" s="70"/>
      <c r="I48" s="70"/>
      <c r="J48" s="70"/>
    </row>
    <row r="49" spans="1:10">
      <c r="A49" s="4"/>
      <c r="B49" s="4"/>
      <c r="C49" s="4"/>
      <c r="D49" s="4"/>
      <c r="E49" s="4" t="s">
        <v>113</v>
      </c>
      <c r="F49" s="4"/>
      <c r="G49" s="4"/>
      <c r="H49" s="70"/>
      <c r="I49" s="70"/>
      <c r="J49" s="70"/>
    </row>
    <row r="50" spans="1:10">
      <c r="A50" s="4"/>
      <c r="B50" s="4"/>
      <c r="C50" s="4"/>
      <c r="D50" s="4"/>
      <c r="E50" s="4"/>
      <c r="F50" s="4" t="s">
        <v>402</v>
      </c>
      <c r="G50" s="4"/>
      <c r="H50" s="70">
        <v>212</v>
      </c>
      <c r="I50" s="70">
        <v>0</v>
      </c>
      <c r="J50" s="70">
        <v>212</v>
      </c>
    </row>
    <row r="51" spans="1:10">
      <c r="A51" s="4"/>
      <c r="B51" s="4"/>
      <c r="C51" s="4"/>
      <c r="D51" s="4"/>
      <c r="E51" s="4"/>
      <c r="F51" s="4" t="s">
        <v>403</v>
      </c>
      <c r="G51" s="4"/>
      <c r="H51" s="70"/>
      <c r="I51" s="70"/>
      <c r="J51" s="70"/>
    </row>
    <row r="52" spans="1:10" ht="15.75" thickBot="1">
      <c r="A52" s="4"/>
      <c r="B52" s="4"/>
      <c r="C52" s="4"/>
      <c r="D52" s="4"/>
      <c r="E52" s="4"/>
      <c r="F52" s="4"/>
      <c r="G52" s="4" t="s">
        <v>404</v>
      </c>
      <c r="H52" s="71">
        <v>0</v>
      </c>
      <c r="I52" s="71">
        <v>0</v>
      </c>
      <c r="J52" s="71">
        <v>0</v>
      </c>
    </row>
    <row r="53" spans="1:10">
      <c r="A53" s="4"/>
      <c r="B53" s="4"/>
      <c r="C53" s="4"/>
      <c r="D53" s="4"/>
      <c r="E53" s="4"/>
      <c r="F53" s="4" t="s">
        <v>405</v>
      </c>
      <c r="G53" s="4"/>
      <c r="H53" s="70">
        <v>0</v>
      </c>
      <c r="I53" s="70">
        <v>0</v>
      </c>
      <c r="J53" s="70">
        <v>0</v>
      </c>
    </row>
    <row r="54" spans="1:10">
      <c r="A54" s="4"/>
      <c r="B54" s="4"/>
      <c r="C54" s="4"/>
      <c r="D54" s="4"/>
      <c r="E54" s="4"/>
      <c r="F54" s="4" t="s">
        <v>406</v>
      </c>
      <c r="G54" s="4"/>
      <c r="H54" s="70">
        <v>243.29</v>
      </c>
      <c r="I54" s="70">
        <v>0</v>
      </c>
      <c r="J54" s="70">
        <v>243.29</v>
      </c>
    </row>
    <row r="55" spans="1:10">
      <c r="A55" s="4"/>
      <c r="B55" s="4"/>
      <c r="C55" s="4"/>
      <c r="D55" s="4"/>
      <c r="E55" s="4"/>
      <c r="F55" s="4" t="s">
        <v>114</v>
      </c>
      <c r="G55" s="4"/>
      <c r="H55" s="70">
        <v>-833.14</v>
      </c>
      <c r="I55" s="70">
        <v>-437.73</v>
      </c>
      <c r="J55" s="70">
        <v>-395.41</v>
      </c>
    </row>
    <row r="56" spans="1:10">
      <c r="A56" s="4"/>
      <c r="B56" s="4"/>
      <c r="C56" s="4"/>
      <c r="D56" s="4"/>
      <c r="E56" s="4"/>
      <c r="F56" s="4" t="s">
        <v>115</v>
      </c>
      <c r="G56" s="4"/>
      <c r="H56" s="70">
        <v>5314.85</v>
      </c>
      <c r="I56" s="70">
        <v>3939.01</v>
      </c>
      <c r="J56" s="70">
        <v>1375.84</v>
      </c>
    </row>
    <row r="57" spans="1:10">
      <c r="A57" s="4"/>
      <c r="B57" s="4"/>
      <c r="C57" s="4"/>
      <c r="D57" s="4"/>
      <c r="E57" s="4"/>
      <c r="F57" s="4" t="s">
        <v>116</v>
      </c>
      <c r="G57" s="4"/>
      <c r="H57" s="70">
        <v>-100</v>
      </c>
      <c r="I57" s="70">
        <v>510</v>
      </c>
      <c r="J57" s="70">
        <v>-610</v>
      </c>
    </row>
    <row r="58" spans="1:10" ht="15.75" thickBot="1">
      <c r="A58" s="4"/>
      <c r="B58" s="4"/>
      <c r="C58" s="4"/>
      <c r="D58" s="4"/>
      <c r="E58" s="4"/>
      <c r="F58" s="4" t="s">
        <v>407</v>
      </c>
      <c r="G58" s="4"/>
      <c r="H58" s="71">
        <v>-171.78</v>
      </c>
      <c r="I58" s="71">
        <v>0</v>
      </c>
      <c r="J58" s="71">
        <v>-171.78</v>
      </c>
    </row>
    <row r="59" spans="1:10">
      <c r="A59" s="4"/>
      <c r="B59" s="4"/>
      <c r="C59" s="4"/>
      <c r="D59" s="4"/>
      <c r="E59" s="4" t="s">
        <v>117</v>
      </c>
      <c r="F59" s="4"/>
      <c r="G59" s="4"/>
      <c r="H59" s="73">
        <v>4665.22</v>
      </c>
      <c r="I59" s="73">
        <v>4011.28</v>
      </c>
      <c r="J59" s="70">
        <v>653.94000000000005</v>
      </c>
    </row>
    <row r="60" spans="1:10">
      <c r="A60" s="4"/>
      <c r="B60" s="4"/>
      <c r="C60" s="4"/>
      <c r="D60" s="4"/>
      <c r="E60" s="4" t="s">
        <v>118</v>
      </c>
      <c r="F60" s="4"/>
      <c r="G60" s="4"/>
      <c r="H60" s="77">
        <v>338900.47999999998</v>
      </c>
      <c r="I60" s="77">
        <v>267297.25</v>
      </c>
      <c r="J60" s="70">
        <v>71603.23</v>
      </c>
    </row>
    <row r="61" spans="1:10">
      <c r="A61" s="4"/>
      <c r="B61" s="4"/>
      <c r="C61" s="4"/>
      <c r="D61" s="4"/>
      <c r="E61" s="4" t="s">
        <v>119</v>
      </c>
      <c r="F61" s="4"/>
      <c r="G61" s="4"/>
      <c r="H61" s="70"/>
      <c r="I61" s="70"/>
      <c r="J61" s="70"/>
    </row>
    <row r="62" spans="1:10" ht="15.75" thickBot="1">
      <c r="A62" s="4"/>
      <c r="B62" s="4"/>
      <c r="C62" s="4"/>
      <c r="D62" s="4"/>
      <c r="E62" s="4"/>
      <c r="F62" s="4" t="s">
        <v>120</v>
      </c>
      <c r="G62" s="4"/>
      <c r="H62" s="78">
        <v>755</v>
      </c>
      <c r="I62" s="78">
        <v>5470</v>
      </c>
      <c r="J62" s="78">
        <v>-4715</v>
      </c>
    </row>
    <row r="63" spans="1:10" ht="15.75" thickBot="1">
      <c r="A63" s="4"/>
      <c r="B63" s="4"/>
      <c r="C63" s="4"/>
      <c r="D63" s="4"/>
      <c r="E63" s="4" t="s">
        <v>121</v>
      </c>
      <c r="F63" s="4"/>
      <c r="G63" s="4"/>
      <c r="H63" s="79">
        <v>755</v>
      </c>
      <c r="I63" s="79">
        <v>5470</v>
      </c>
      <c r="J63" s="80">
        <v>-4715</v>
      </c>
    </row>
    <row r="64" spans="1:10">
      <c r="A64" s="4"/>
      <c r="B64" s="4"/>
      <c r="C64" s="4"/>
      <c r="D64" s="4" t="s">
        <v>122</v>
      </c>
      <c r="E64" s="4"/>
      <c r="F64" s="4"/>
      <c r="G64" s="4"/>
      <c r="H64" s="70">
        <v>344320.7</v>
      </c>
      <c r="I64" s="70">
        <v>276778.53000000003</v>
      </c>
      <c r="J64" s="70">
        <v>67542.17</v>
      </c>
    </row>
    <row r="65" spans="1:13">
      <c r="A65" s="4"/>
      <c r="B65" s="4"/>
      <c r="C65" s="4"/>
      <c r="D65" s="4" t="s">
        <v>123</v>
      </c>
      <c r="E65" s="4"/>
      <c r="F65" s="4"/>
      <c r="G65" s="4"/>
      <c r="H65" s="70"/>
      <c r="I65" s="70"/>
      <c r="J65" s="70"/>
    </row>
    <row r="66" spans="1:13">
      <c r="A66" s="4"/>
      <c r="B66" s="4"/>
      <c r="C66" s="4"/>
      <c r="D66" s="4"/>
      <c r="E66" s="4" t="s">
        <v>124</v>
      </c>
      <c r="F66" s="4"/>
      <c r="G66" s="4"/>
      <c r="H66" s="77">
        <v>10378</v>
      </c>
      <c r="I66" s="77">
        <v>29565</v>
      </c>
      <c r="J66" s="70">
        <v>-19187</v>
      </c>
    </row>
    <row r="67" spans="1:13">
      <c r="A67" s="4"/>
      <c r="B67" s="4"/>
      <c r="C67" s="4"/>
      <c r="D67" s="4"/>
      <c r="E67" s="4" t="s">
        <v>125</v>
      </c>
      <c r="F67" s="4"/>
      <c r="G67" s="4"/>
      <c r="H67" s="86">
        <v>-15407.67</v>
      </c>
      <c r="I67" s="86">
        <v>-12868.64</v>
      </c>
      <c r="J67" s="70">
        <v>-2539.0300000000002</v>
      </c>
      <c r="K67" s="85" t="s">
        <v>463</v>
      </c>
    </row>
    <row r="68" spans="1:13">
      <c r="A68" s="4"/>
      <c r="B68" s="4"/>
      <c r="C68" s="4"/>
      <c r="D68" s="4"/>
      <c r="E68" s="4" t="s">
        <v>126</v>
      </c>
      <c r="F68" s="4"/>
      <c r="G68" s="4"/>
      <c r="H68" s="70"/>
      <c r="I68" s="70"/>
      <c r="J68" s="70"/>
    </row>
    <row r="69" spans="1:13">
      <c r="A69" s="4"/>
      <c r="B69" s="4"/>
      <c r="C69" s="4"/>
      <c r="D69" s="4"/>
      <c r="E69" s="4"/>
      <c r="F69" s="4" t="s">
        <v>127</v>
      </c>
      <c r="G69" s="4"/>
      <c r="H69" s="91">
        <v>-1178.67</v>
      </c>
      <c r="I69" s="70">
        <v>-984.41</v>
      </c>
      <c r="J69" s="70">
        <v>-194.26</v>
      </c>
      <c r="K69" s="85" t="s">
        <v>463</v>
      </c>
    </row>
    <row r="70" spans="1:13">
      <c r="A70" s="4"/>
      <c r="B70" s="4"/>
      <c r="C70" s="4"/>
      <c r="D70" s="4"/>
      <c r="E70" s="4"/>
      <c r="F70" s="4" t="s">
        <v>128</v>
      </c>
      <c r="G70" s="4"/>
      <c r="H70" s="70">
        <v>0</v>
      </c>
      <c r="I70" s="70">
        <v>-153</v>
      </c>
      <c r="J70" s="70">
        <v>153</v>
      </c>
    </row>
    <row r="71" spans="1:13">
      <c r="A71" s="4"/>
      <c r="B71" s="4"/>
      <c r="C71" s="4"/>
      <c r="D71" s="4"/>
      <c r="E71" s="4"/>
      <c r="F71" s="4" t="s">
        <v>129</v>
      </c>
      <c r="G71" s="4"/>
      <c r="H71" s="70">
        <v>0</v>
      </c>
      <c r="I71" s="70">
        <v>-83.31</v>
      </c>
      <c r="J71" s="70">
        <v>83.31</v>
      </c>
    </row>
    <row r="72" spans="1:13" ht="15.75" thickBot="1">
      <c r="A72" s="4"/>
      <c r="B72" s="4"/>
      <c r="C72" s="4"/>
      <c r="D72" s="4"/>
      <c r="E72" s="4"/>
      <c r="F72" s="4" t="s">
        <v>130</v>
      </c>
      <c r="G72" s="4"/>
      <c r="H72" s="78">
        <v>0</v>
      </c>
      <c r="I72" s="78">
        <v>-190.51</v>
      </c>
      <c r="J72" s="78">
        <v>190.51</v>
      </c>
    </row>
    <row r="73" spans="1:13" ht="15.75" thickBot="1">
      <c r="A73" s="4"/>
      <c r="B73" s="4"/>
      <c r="C73" s="4"/>
      <c r="D73" s="4"/>
      <c r="E73" s="4" t="s">
        <v>131</v>
      </c>
      <c r="F73" s="4"/>
      <c r="G73" s="4"/>
      <c r="H73" s="59">
        <v>-1178.67</v>
      </c>
      <c r="I73" s="59">
        <v>-1411.23</v>
      </c>
      <c r="J73" s="80">
        <v>232.56</v>
      </c>
    </row>
    <row r="74" spans="1:13">
      <c r="A74" s="4"/>
      <c r="B74" s="4"/>
      <c r="C74" s="4"/>
      <c r="D74" s="4" t="s">
        <v>132</v>
      </c>
      <c r="E74" s="4"/>
      <c r="F74" s="4"/>
      <c r="G74" s="4"/>
      <c r="H74" s="70">
        <v>-6208.34</v>
      </c>
      <c r="I74" s="70">
        <v>15285.13</v>
      </c>
      <c r="J74" s="70">
        <v>-21493.47</v>
      </c>
    </row>
    <row r="75" spans="1:13">
      <c r="A75" s="4"/>
      <c r="B75" s="4"/>
      <c r="C75" s="4"/>
      <c r="D75" s="4" t="s">
        <v>133</v>
      </c>
      <c r="E75" s="4"/>
      <c r="F75" s="4"/>
      <c r="G75" s="4"/>
      <c r="H75" s="88">
        <v>8545</v>
      </c>
      <c r="I75" s="88">
        <v>10000</v>
      </c>
      <c r="J75" s="70">
        <v>-1455</v>
      </c>
    </row>
    <row r="76" spans="1:13">
      <c r="A76" s="4"/>
      <c r="B76" s="4"/>
      <c r="C76" s="4"/>
      <c r="D76" s="4" t="s">
        <v>134</v>
      </c>
      <c r="E76" s="4"/>
      <c r="F76" s="4"/>
      <c r="G76" s="4"/>
      <c r="H76" s="70">
        <v>0</v>
      </c>
      <c r="I76" s="72">
        <v>450</v>
      </c>
      <c r="J76" s="70">
        <v>-450</v>
      </c>
    </row>
    <row r="77" spans="1:13" ht="15.75" thickBot="1">
      <c r="A77" s="4"/>
      <c r="B77" s="4"/>
      <c r="C77" s="4"/>
      <c r="D77" s="4" t="s">
        <v>380</v>
      </c>
      <c r="E77" s="4"/>
      <c r="F77" s="4"/>
      <c r="G77" s="4"/>
      <c r="H77" s="81">
        <v>978.51</v>
      </c>
      <c r="I77" s="81">
        <v>0</v>
      </c>
      <c r="J77" s="78">
        <v>978.51</v>
      </c>
    </row>
    <row r="78" spans="1:13" ht="15.75" thickBot="1">
      <c r="A78" s="4"/>
      <c r="B78" s="4"/>
      <c r="C78" s="4" t="s">
        <v>135</v>
      </c>
      <c r="D78" s="4"/>
      <c r="E78" s="4"/>
      <c r="F78" s="4"/>
      <c r="G78" s="4"/>
      <c r="H78" s="80">
        <v>1379643.73</v>
      </c>
      <c r="I78" s="80">
        <v>1366840.47</v>
      </c>
      <c r="J78" s="80">
        <v>12803.26</v>
      </c>
      <c r="K78" s="95">
        <f>H78-H73-H67</f>
        <v>1396230.0699999998</v>
      </c>
      <c r="L78" s="96">
        <f>I78-I73-I67</f>
        <v>1381120.3399999999</v>
      </c>
      <c r="M78" s="97" t="s">
        <v>464</v>
      </c>
    </row>
    <row r="79" spans="1:13">
      <c r="A79" s="4"/>
      <c r="B79" s="4" t="s">
        <v>408</v>
      </c>
      <c r="C79" s="4"/>
      <c r="D79" s="4"/>
      <c r="E79" s="4"/>
      <c r="F79" s="4"/>
      <c r="G79" s="4"/>
      <c r="H79" s="70">
        <v>1379643.73</v>
      </c>
      <c r="I79" s="70">
        <v>1366840.47</v>
      </c>
      <c r="J79" s="70">
        <v>12803.26</v>
      </c>
      <c r="K79" s="98">
        <v>-1387685</v>
      </c>
      <c r="L79" s="99">
        <v>-1371120</v>
      </c>
      <c r="M79" s="100" t="s">
        <v>465</v>
      </c>
    </row>
    <row r="80" spans="1:13" ht="15.75" thickBot="1">
      <c r="A80" s="4"/>
      <c r="B80" s="4"/>
      <c r="C80" s="4" t="s">
        <v>136</v>
      </c>
      <c r="D80" s="4"/>
      <c r="E80" s="4"/>
      <c r="F80" s="4"/>
      <c r="G80" s="4"/>
      <c r="H80" s="70"/>
      <c r="I80" s="70"/>
      <c r="J80" s="70"/>
      <c r="K80" s="101">
        <v>8545.0699999998324</v>
      </c>
      <c r="L80" s="102">
        <v>10000.339999999851</v>
      </c>
      <c r="M80" s="103" t="s">
        <v>22</v>
      </c>
    </row>
    <row r="81" spans="1:10">
      <c r="A81" s="4"/>
      <c r="B81" s="4"/>
      <c r="C81" s="4"/>
      <c r="D81" s="4" t="s">
        <v>137</v>
      </c>
      <c r="E81" s="4"/>
      <c r="F81" s="4"/>
      <c r="G81" s="4"/>
      <c r="H81" s="70"/>
      <c r="I81" s="70"/>
      <c r="J81" s="70"/>
    </row>
    <row r="82" spans="1:10">
      <c r="A82" s="4"/>
      <c r="B82" s="4"/>
      <c r="C82" s="4"/>
      <c r="D82" s="4"/>
      <c r="E82" s="4" t="s">
        <v>138</v>
      </c>
      <c r="F82" s="4"/>
      <c r="G82" s="4"/>
      <c r="H82" s="70">
        <v>124100.02</v>
      </c>
      <c r="I82" s="70">
        <v>106899.96</v>
      </c>
      <c r="J82" s="70">
        <v>17200.060000000001</v>
      </c>
    </row>
    <row r="83" spans="1:10">
      <c r="A83" s="4"/>
      <c r="B83" s="4"/>
      <c r="C83" s="4"/>
      <c r="D83" s="4"/>
      <c r="E83" s="4" t="s">
        <v>139</v>
      </c>
      <c r="F83" s="4"/>
      <c r="G83" s="4"/>
      <c r="H83" s="70"/>
      <c r="I83" s="70"/>
      <c r="J83" s="70"/>
    </row>
    <row r="84" spans="1:10">
      <c r="A84" s="4"/>
      <c r="B84" s="4"/>
      <c r="C84" s="4"/>
      <c r="D84" s="4"/>
      <c r="E84" s="4"/>
      <c r="F84" s="4" t="s">
        <v>140</v>
      </c>
      <c r="G84" s="4"/>
      <c r="H84" s="70">
        <v>27943.61</v>
      </c>
      <c r="I84" s="70">
        <v>27179.16</v>
      </c>
      <c r="J84" s="70">
        <v>764.45</v>
      </c>
    </row>
    <row r="85" spans="1:10">
      <c r="A85" s="4"/>
      <c r="B85" s="4"/>
      <c r="C85" s="4"/>
      <c r="D85" s="4"/>
      <c r="E85" s="4"/>
      <c r="F85" s="4" t="s">
        <v>141</v>
      </c>
      <c r="G85" s="4"/>
      <c r="H85" s="70">
        <v>7160</v>
      </c>
      <c r="I85" s="70">
        <v>7700</v>
      </c>
      <c r="J85" s="70">
        <v>-540</v>
      </c>
    </row>
    <row r="86" spans="1:10" ht="15.75" thickBot="1">
      <c r="A86" s="4"/>
      <c r="B86" s="4"/>
      <c r="C86" s="4"/>
      <c r="D86" s="4"/>
      <c r="E86" s="4"/>
      <c r="F86" s="4" t="s">
        <v>142</v>
      </c>
      <c r="G86" s="4"/>
      <c r="H86" s="71">
        <v>7300</v>
      </c>
      <c r="I86" s="71">
        <v>2200</v>
      </c>
      <c r="J86" s="71">
        <v>5100</v>
      </c>
    </row>
    <row r="87" spans="1:10">
      <c r="A87" s="4"/>
      <c r="B87" s="4"/>
      <c r="C87" s="4"/>
      <c r="D87" s="4"/>
      <c r="E87" s="4" t="s">
        <v>143</v>
      </c>
      <c r="F87" s="4"/>
      <c r="G87" s="4"/>
      <c r="H87" s="86">
        <v>42403.61</v>
      </c>
      <c r="I87" s="70">
        <v>37079.160000000003</v>
      </c>
      <c r="J87" s="70">
        <v>5324.45</v>
      </c>
    </row>
    <row r="88" spans="1:10">
      <c r="A88" s="4"/>
      <c r="B88" s="4"/>
      <c r="C88" s="4"/>
      <c r="D88" s="4"/>
      <c r="E88" s="4" t="s">
        <v>144</v>
      </c>
      <c r="F88" s="4"/>
      <c r="G88" s="4"/>
      <c r="H88" s="86">
        <v>224320.23</v>
      </c>
      <c r="I88" s="70">
        <v>206814.79</v>
      </c>
      <c r="J88" s="70">
        <v>17505.439999999999</v>
      </c>
    </row>
    <row r="89" spans="1:10">
      <c r="A89" s="4"/>
      <c r="B89" s="4"/>
      <c r="C89" s="4"/>
      <c r="D89" s="4"/>
      <c r="E89" s="4" t="s">
        <v>145</v>
      </c>
      <c r="F89" s="4"/>
      <c r="G89" s="4"/>
      <c r="H89" s="70"/>
      <c r="I89" s="70"/>
      <c r="J89" s="70"/>
    </row>
    <row r="90" spans="1:10">
      <c r="A90" s="4"/>
      <c r="B90" s="4"/>
      <c r="C90" s="4"/>
      <c r="D90" s="4"/>
      <c r="E90" s="4"/>
      <c r="F90" s="4" t="s">
        <v>146</v>
      </c>
      <c r="G90" s="4"/>
      <c r="H90" s="70">
        <v>15867.46</v>
      </c>
      <c r="I90" s="70">
        <v>14879.86</v>
      </c>
      <c r="J90" s="70">
        <v>987.6</v>
      </c>
    </row>
    <row r="91" spans="1:10">
      <c r="A91" s="4"/>
      <c r="B91" s="4"/>
      <c r="C91" s="4"/>
      <c r="D91" s="4"/>
      <c r="E91" s="4"/>
      <c r="F91" s="4" t="s">
        <v>147</v>
      </c>
      <c r="G91" s="4"/>
      <c r="H91" s="70">
        <v>2210</v>
      </c>
      <c r="I91" s="70">
        <v>1275</v>
      </c>
      <c r="J91" s="70">
        <v>935</v>
      </c>
    </row>
    <row r="92" spans="1:10">
      <c r="A92" s="4"/>
      <c r="B92" s="4"/>
      <c r="C92" s="4"/>
      <c r="D92" s="4"/>
      <c r="E92" s="4"/>
      <c r="F92" s="4" t="s">
        <v>148</v>
      </c>
      <c r="G92" s="4"/>
      <c r="H92" s="70">
        <v>15495.16</v>
      </c>
      <c r="I92" s="70">
        <v>11229.41</v>
      </c>
      <c r="J92" s="70">
        <v>4265.75</v>
      </c>
    </row>
    <row r="93" spans="1:10">
      <c r="A93" s="4"/>
      <c r="B93" s="4"/>
      <c r="C93" s="4"/>
      <c r="D93" s="4"/>
      <c r="E93" s="4"/>
      <c r="F93" s="4" t="s">
        <v>149</v>
      </c>
      <c r="G93" s="4"/>
      <c r="H93" s="70">
        <v>1223.22</v>
      </c>
      <c r="I93" s="70">
        <v>1582.89</v>
      </c>
      <c r="J93" s="70">
        <v>-359.67</v>
      </c>
    </row>
    <row r="94" spans="1:10">
      <c r="A94" s="4"/>
      <c r="B94" s="4"/>
      <c r="C94" s="4"/>
      <c r="D94" s="4"/>
      <c r="E94" s="4"/>
      <c r="F94" s="4" t="s">
        <v>150</v>
      </c>
      <c r="G94" s="4"/>
      <c r="H94" s="70">
        <v>1312</v>
      </c>
      <c r="I94" s="70">
        <v>3619.69</v>
      </c>
      <c r="J94" s="70">
        <v>-2307.69</v>
      </c>
    </row>
    <row r="95" spans="1:10">
      <c r="A95" s="4"/>
      <c r="B95" s="4"/>
      <c r="C95" s="4"/>
      <c r="D95" s="4"/>
      <c r="E95" s="4"/>
      <c r="F95" s="4" t="s">
        <v>409</v>
      </c>
      <c r="G95" s="4"/>
      <c r="H95" s="70">
        <v>59.38</v>
      </c>
      <c r="I95" s="70">
        <v>0</v>
      </c>
      <c r="J95" s="70">
        <v>59.38</v>
      </c>
    </row>
    <row r="96" spans="1:10">
      <c r="A96" s="4"/>
      <c r="B96" s="4"/>
      <c r="C96" s="4"/>
      <c r="D96" s="4"/>
      <c r="E96" s="4"/>
      <c r="F96" s="4" t="s">
        <v>151</v>
      </c>
      <c r="G96" s="4"/>
      <c r="H96" s="70">
        <v>25167.01</v>
      </c>
      <c r="I96" s="70">
        <v>30200</v>
      </c>
      <c r="J96" s="70">
        <v>-5032.99</v>
      </c>
    </row>
    <row r="97" spans="1:10">
      <c r="A97" s="4"/>
      <c r="B97" s="4"/>
      <c r="C97" s="4"/>
      <c r="D97" s="4"/>
      <c r="E97" s="4"/>
      <c r="F97" s="4" t="s">
        <v>152</v>
      </c>
      <c r="G97" s="4"/>
      <c r="H97" s="70">
        <v>10479.01</v>
      </c>
      <c r="I97" s="70">
        <v>19161.32</v>
      </c>
      <c r="J97" s="70">
        <v>-8682.31</v>
      </c>
    </row>
    <row r="98" spans="1:10">
      <c r="A98" s="4"/>
      <c r="B98" s="4"/>
      <c r="C98" s="4"/>
      <c r="D98" s="4"/>
      <c r="E98" s="4"/>
      <c r="F98" s="4" t="s">
        <v>153</v>
      </c>
      <c r="G98" s="4"/>
      <c r="H98" s="70">
        <v>0</v>
      </c>
      <c r="I98" s="70">
        <v>0</v>
      </c>
      <c r="J98" s="70">
        <v>0</v>
      </c>
    </row>
    <row r="99" spans="1:10">
      <c r="A99" s="4"/>
      <c r="B99" s="4"/>
      <c r="C99" s="4"/>
      <c r="D99" s="4"/>
      <c r="E99" s="4"/>
      <c r="F99" s="4" t="s">
        <v>410</v>
      </c>
      <c r="G99" s="4"/>
      <c r="H99" s="70">
        <v>3087.33</v>
      </c>
      <c r="I99" s="70">
        <v>0</v>
      </c>
      <c r="J99" s="70">
        <v>3087.33</v>
      </c>
    </row>
    <row r="100" spans="1:10">
      <c r="A100" s="4"/>
      <c r="B100" s="4"/>
      <c r="C100" s="4"/>
      <c r="D100" s="4"/>
      <c r="E100" s="4"/>
      <c r="F100" s="4" t="s">
        <v>154</v>
      </c>
      <c r="G100" s="4"/>
      <c r="H100" s="70">
        <v>522.6</v>
      </c>
      <c r="I100" s="70">
        <v>0</v>
      </c>
      <c r="J100" s="70">
        <v>522.6</v>
      </c>
    </row>
    <row r="101" spans="1:10" ht="15.75" thickBot="1">
      <c r="A101" s="4"/>
      <c r="B101" s="4"/>
      <c r="C101" s="4"/>
      <c r="D101" s="4"/>
      <c r="E101" s="4"/>
      <c r="F101" s="4" t="s">
        <v>411</v>
      </c>
      <c r="G101" s="4"/>
      <c r="H101" s="71">
        <v>189.67</v>
      </c>
      <c r="I101" s="71">
        <v>0</v>
      </c>
      <c r="J101" s="71">
        <v>189.67</v>
      </c>
    </row>
    <row r="102" spans="1:10">
      <c r="A102" s="4"/>
      <c r="B102" s="4"/>
      <c r="C102" s="4"/>
      <c r="D102" s="4"/>
      <c r="E102" s="4" t="s">
        <v>155</v>
      </c>
      <c r="F102" s="4"/>
      <c r="G102" s="4"/>
      <c r="H102" s="86">
        <v>75612.84</v>
      </c>
      <c r="I102" s="70">
        <v>81948.17</v>
      </c>
      <c r="J102" s="70">
        <v>-6335.33</v>
      </c>
    </row>
    <row r="103" spans="1:10">
      <c r="A103" s="4"/>
      <c r="B103" s="4"/>
      <c r="C103" s="4"/>
      <c r="D103" s="4"/>
      <c r="E103" s="4" t="s">
        <v>156</v>
      </c>
      <c r="F103" s="4"/>
      <c r="G103" s="4"/>
      <c r="H103" s="70">
        <v>31566.75</v>
      </c>
      <c r="I103" s="70">
        <v>27467.200000000001</v>
      </c>
      <c r="J103" s="70">
        <v>4099.55</v>
      </c>
    </row>
    <row r="104" spans="1:10">
      <c r="A104" s="4"/>
      <c r="B104" s="4"/>
      <c r="C104" s="4"/>
      <c r="D104" s="4"/>
      <c r="E104" s="4" t="s">
        <v>157</v>
      </c>
      <c r="F104" s="4"/>
      <c r="G104" s="4"/>
      <c r="H104" s="70"/>
      <c r="I104" s="70"/>
      <c r="J104" s="70"/>
    </row>
    <row r="105" spans="1:10">
      <c r="A105" s="4"/>
      <c r="B105" s="4"/>
      <c r="C105" s="4"/>
      <c r="D105" s="4"/>
      <c r="E105" s="4"/>
      <c r="F105" s="4" t="s">
        <v>158</v>
      </c>
      <c r="G105" s="4"/>
      <c r="H105" s="70">
        <v>2307.64</v>
      </c>
      <c r="I105" s="70">
        <v>2670.85</v>
      </c>
      <c r="J105" s="70">
        <v>-363.21</v>
      </c>
    </row>
    <row r="106" spans="1:10">
      <c r="A106" s="4"/>
      <c r="B106" s="4"/>
      <c r="C106" s="4"/>
      <c r="D106" s="4"/>
      <c r="E106" s="4"/>
      <c r="F106" s="4" t="s">
        <v>412</v>
      </c>
      <c r="G106" s="4"/>
      <c r="H106" s="70">
        <v>1740</v>
      </c>
      <c r="I106" s="70">
        <v>0</v>
      </c>
      <c r="J106" s="70">
        <v>1740</v>
      </c>
    </row>
    <row r="107" spans="1:10">
      <c r="A107" s="4"/>
      <c r="B107" s="4"/>
      <c r="C107" s="4"/>
      <c r="D107" s="4"/>
      <c r="E107" s="4"/>
      <c r="F107" s="4" t="s">
        <v>413</v>
      </c>
      <c r="G107" s="4"/>
      <c r="H107" s="70">
        <v>2372.23</v>
      </c>
      <c r="I107" s="70">
        <v>0</v>
      </c>
      <c r="J107" s="70">
        <v>2372.23</v>
      </c>
    </row>
    <row r="108" spans="1:10">
      <c r="A108" s="4"/>
      <c r="B108" s="4"/>
      <c r="C108" s="4"/>
      <c r="D108" s="4"/>
      <c r="E108" s="4"/>
      <c r="F108" s="4" t="s">
        <v>414</v>
      </c>
      <c r="G108" s="4"/>
      <c r="H108" s="70">
        <v>278.8</v>
      </c>
      <c r="I108" s="70">
        <v>0</v>
      </c>
      <c r="J108" s="70">
        <v>278.8</v>
      </c>
    </row>
    <row r="109" spans="1:10">
      <c r="A109" s="4"/>
      <c r="B109" s="4"/>
      <c r="C109" s="4"/>
      <c r="D109" s="4"/>
      <c r="E109" s="4"/>
      <c r="F109" s="4" t="s">
        <v>415</v>
      </c>
      <c r="G109" s="4"/>
      <c r="H109" s="70">
        <v>537.99</v>
      </c>
      <c r="I109" s="70">
        <v>0</v>
      </c>
      <c r="J109" s="70">
        <v>537.99</v>
      </c>
    </row>
    <row r="110" spans="1:10">
      <c r="A110" s="4"/>
      <c r="B110" s="4"/>
      <c r="C110" s="4"/>
      <c r="D110" s="4"/>
      <c r="E110" s="4"/>
      <c r="F110" s="4" t="s">
        <v>159</v>
      </c>
      <c r="G110" s="4"/>
      <c r="H110" s="70">
        <v>1052.46</v>
      </c>
      <c r="I110" s="70">
        <v>1323.8</v>
      </c>
      <c r="J110" s="70">
        <v>-271.33999999999997</v>
      </c>
    </row>
    <row r="111" spans="1:10">
      <c r="A111" s="4"/>
      <c r="B111" s="4"/>
      <c r="C111" s="4"/>
      <c r="D111" s="4"/>
      <c r="E111" s="4"/>
      <c r="F111" s="4" t="s">
        <v>160</v>
      </c>
      <c r="G111" s="4"/>
      <c r="H111" s="70">
        <v>0</v>
      </c>
      <c r="I111" s="70">
        <v>1680</v>
      </c>
      <c r="J111" s="70">
        <v>-1680</v>
      </c>
    </row>
    <row r="112" spans="1:10">
      <c r="A112" s="4"/>
      <c r="B112" s="4"/>
      <c r="C112" s="4"/>
      <c r="D112" s="4"/>
      <c r="E112" s="4"/>
      <c r="F112" s="4" t="s">
        <v>161</v>
      </c>
      <c r="G112" s="4"/>
      <c r="H112" s="70">
        <v>1098.17</v>
      </c>
      <c r="I112" s="70">
        <v>1959.23</v>
      </c>
      <c r="J112" s="70">
        <v>-861.06</v>
      </c>
    </row>
    <row r="113" spans="1:10">
      <c r="A113" s="4"/>
      <c r="B113" s="4"/>
      <c r="C113" s="4"/>
      <c r="D113" s="4"/>
      <c r="E113" s="4"/>
      <c r="F113" s="4" t="s">
        <v>416</v>
      </c>
      <c r="G113" s="4"/>
      <c r="H113" s="70">
        <v>6326.89</v>
      </c>
      <c r="I113" s="70">
        <v>0</v>
      </c>
      <c r="J113" s="70">
        <v>6326.89</v>
      </c>
    </row>
    <row r="114" spans="1:10">
      <c r="A114" s="4"/>
      <c r="B114" s="4"/>
      <c r="C114" s="4"/>
      <c r="D114" s="4"/>
      <c r="E114" s="4"/>
      <c r="F114" s="4" t="s">
        <v>162</v>
      </c>
      <c r="G114" s="4"/>
      <c r="H114" s="70">
        <v>4205.3900000000003</v>
      </c>
      <c r="I114" s="70">
        <v>-556</v>
      </c>
      <c r="J114" s="70">
        <v>4761.3900000000003</v>
      </c>
    </row>
    <row r="115" spans="1:10">
      <c r="A115" s="4"/>
      <c r="B115" s="4"/>
      <c r="C115" s="4"/>
      <c r="D115" s="4"/>
      <c r="E115" s="4"/>
      <c r="F115" s="4" t="s">
        <v>163</v>
      </c>
      <c r="G115" s="4"/>
      <c r="H115" s="70">
        <v>4476.21</v>
      </c>
      <c r="I115" s="70">
        <v>1505</v>
      </c>
      <c r="J115" s="70">
        <v>2971.21</v>
      </c>
    </row>
    <row r="116" spans="1:10">
      <c r="A116" s="4"/>
      <c r="B116" s="4"/>
      <c r="C116" s="4"/>
      <c r="D116" s="4"/>
      <c r="E116" s="4"/>
      <c r="F116" s="4" t="s">
        <v>164</v>
      </c>
      <c r="G116" s="4"/>
      <c r="H116" s="70">
        <v>52714.14</v>
      </c>
      <c r="I116" s="70">
        <v>51986.39</v>
      </c>
      <c r="J116" s="70">
        <v>727.75</v>
      </c>
    </row>
    <row r="117" spans="1:10" ht="15.75" thickBot="1">
      <c r="A117" s="4"/>
      <c r="B117" s="4"/>
      <c r="C117" s="4"/>
      <c r="D117" s="4"/>
      <c r="E117" s="4"/>
      <c r="F117" s="4" t="s">
        <v>165</v>
      </c>
      <c r="G117" s="4"/>
      <c r="H117" s="71">
        <v>2171.5100000000002</v>
      </c>
      <c r="I117" s="71">
        <v>617.36</v>
      </c>
      <c r="J117" s="71">
        <v>1554.15</v>
      </c>
    </row>
    <row r="118" spans="1:10">
      <c r="A118" s="4"/>
      <c r="B118" s="4"/>
      <c r="C118" s="4"/>
      <c r="D118" s="4"/>
      <c r="E118" s="4" t="s">
        <v>166</v>
      </c>
      <c r="F118" s="4"/>
      <c r="G118" s="4"/>
      <c r="H118" s="65">
        <v>79281.429999999993</v>
      </c>
      <c r="I118" s="65">
        <v>61186.63</v>
      </c>
      <c r="J118" s="70">
        <v>18094.8</v>
      </c>
    </row>
    <row r="119" spans="1:10">
      <c r="A119" s="4"/>
      <c r="B119" s="4"/>
      <c r="C119" s="4"/>
      <c r="D119" s="4"/>
      <c r="E119" s="4" t="s">
        <v>167</v>
      </c>
      <c r="F119" s="4"/>
      <c r="G119" s="4"/>
      <c r="H119" s="66">
        <v>23445.33</v>
      </c>
      <c r="I119" s="66">
        <v>15911.3</v>
      </c>
      <c r="J119" s="70">
        <v>7534.03</v>
      </c>
    </row>
    <row r="120" spans="1:10">
      <c r="A120" s="4"/>
      <c r="B120" s="4"/>
      <c r="C120" s="4"/>
      <c r="D120" s="4"/>
      <c r="E120" s="4" t="s">
        <v>168</v>
      </c>
      <c r="F120" s="4"/>
      <c r="G120" s="4"/>
      <c r="H120" s="89">
        <v>18338.14</v>
      </c>
      <c r="I120" s="89">
        <v>16175.9</v>
      </c>
      <c r="J120" s="70">
        <v>2162.2399999999998</v>
      </c>
    </row>
    <row r="121" spans="1:10">
      <c r="A121" s="4"/>
      <c r="B121" s="4"/>
      <c r="C121" s="4"/>
      <c r="D121" s="4"/>
      <c r="E121" s="4" t="s">
        <v>169</v>
      </c>
      <c r="F121" s="4"/>
      <c r="G121" s="4"/>
      <c r="H121" s="70"/>
      <c r="I121" s="70"/>
      <c r="J121" s="70"/>
    </row>
    <row r="122" spans="1:10">
      <c r="A122" s="4"/>
      <c r="B122" s="4"/>
      <c r="C122" s="4"/>
      <c r="D122" s="4"/>
      <c r="E122" s="4"/>
      <c r="F122" s="4" t="s">
        <v>170</v>
      </c>
      <c r="G122" s="4"/>
      <c r="H122" s="70">
        <v>5647.47</v>
      </c>
      <c r="I122" s="70">
        <v>8669.1</v>
      </c>
      <c r="J122" s="70">
        <v>-3021.63</v>
      </c>
    </row>
    <row r="123" spans="1:10">
      <c r="A123" s="4"/>
      <c r="B123" s="4"/>
      <c r="C123" s="4"/>
      <c r="D123" s="4"/>
      <c r="E123" s="4"/>
      <c r="F123" s="4" t="s">
        <v>171</v>
      </c>
      <c r="G123" s="4"/>
      <c r="H123" s="70">
        <v>6909.67</v>
      </c>
      <c r="I123" s="70">
        <v>6929.49</v>
      </c>
      <c r="J123" s="70">
        <v>-19.82</v>
      </c>
    </row>
    <row r="124" spans="1:10">
      <c r="A124" s="4"/>
      <c r="B124" s="4"/>
      <c r="C124" s="4"/>
      <c r="D124" s="4"/>
      <c r="E124" s="4"/>
      <c r="F124" s="4" t="s">
        <v>172</v>
      </c>
      <c r="G124" s="4"/>
      <c r="H124" s="70">
        <v>1540.97</v>
      </c>
      <c r="I124" s="70">
        <v>1240.67</v>
      </c>
      <c r="J124" s="70">
        <v>300.3</v>
      </c>
    </row>
    <row r="125" spans="1:10" ht="15.75" thickBot="1">
      <c r="A125" s="4"/>
      <c r="B125" s="4"/>
      <c r="C125" s="4"/>
      <c r="D125" s="4"/>
      <c r="E125" s="4"/>
      <c r="F125" s="4" t="s">
        <v>173</v>
      </c>
      <c r="G125" s="4"/>
      <c r="H125" s="71">
        <v>6639.9</v>
      </c>
      <c r="I125" s="71">
        <v>1277.33</v>
      </c>
      <c r="J125" s="71">
        <v>5362.57</v>
      </c>
    </row>
    <row r="126" spans="1:10">
      <c r="A126" s="4"/>
      <c r="B126" s="4"/>
      <c r="C126" s="4"/>
      <c r="D126" s="4"/>
      <c r="E126" s="4" t="s">
        <v>174</v>
      </c>
      <c r="F126" s="4"/>
      <c r="G126" s="4"/>
      <c r="H126" s="60">
        <v>20738.009999999998</v>
      </c>
      <c r="I126" s="60">
        <v>18116.59</v>
      </c>
      <c r="J126" s="70">
        <v>2621.42</v>
      </c>
    </row>
    <row r="127" spans="1:10">
      <c r="A127" s="4"/>
      <c r="B127" s="4"/>
      <c r="C127" s="4"/>
      <c r="D127" s="4"/>
      <c r="E127" s="4" t="s">
        <v>175</v>
      </c>
      <c r="F127" s="4"/>
      <c r="G127" s="4"/>
      <c r="H127" s="70"/>
      <c r="I127" s="70"/>
      <c r="J127" s="70"/>
    </row>
    <row r="128" spans="1:10">
      <c r="A128" s="4"/>
      <c r="B128" s="4"/>
      <c r="C128" s="4"/>
      <c r="D128" s="4"/>
      <c r="E128" s="4"/>
      <c r="F128" s="4" t="s">
        <v>176</v>
      </c>
      <c r="G128" s="4"/>
      <c r="H128" s="70">
        <v>2122.6</v>
      </c>
      <c r="I128" s="70">
        <v>1117.0999999999999</v>
      </c>
      <c r="J128" s="70">
        <v>1005.5</v>
      </c>
    </row>
    <row r="129" spans="1:10">
      <c r="A129" s="4"/>
      <c r="B129" s="4"/>
      <c r="C129" s="4"/>
      <c r="D129" s="4"/>
      <c r="E129" s="4"/>
      <c r="F129" s="4" t="s">
        <v>177</v>
      </c>
      <c r="G129" s="4"/>
      <c r="H129" s="70">
        <v>1439</v>
      </c>
      <c r="I129" s="70">
        <v>1439</v>
      </c>
      <c r="J129" s="70">
        <v>0</v>
      </c>
    </row>
    <row r="130" spans="1:10">
      <c r="A130" s="4"/>
      <c r="B130" s="4"/>
      <c r="C130" s="4"/>
      <c r="D130" s="4"/>
      <c r="E130" s="4"/>
      <c r="F130" s="4" t="s">
        <v>178</v>
      </c>
      <c r="G130" s="4"/>
      <c r="H130" s="70">
        <v>904.46</v>
      </c>
      <c r="I130" s="70">
        <v>962.11</v>
      </c>
      <c r="J130" s="70">
        <v>-57.65</v>
      </c>
    </row>
    <row r="131" spans="1:10">
      <c r="A131" s="4"/>
      <c r="B131" s="4"/>
      <c r="C131" s="4"/>
      <c r="D131" s="4"/>
      <c r="E131" s="4"/>
      <c r="F131" s="4" t="s">
        <v>381</v>
      </c>
      <c r="G131" s="4"/>
      <c r="H131" s="70">
        <v>723.22</v>
      </c>
      <c r="I131" s="70">
        <v>0</v>
      </c>
      <c r="J131" s="70">
        <v>723.22</v>
      </c>
    </row>
    <row r="132" spans="1:10">
      <c r="A132" s="4"/>
      <c r="B132" s="4"/>
      <c r="C132" s="4"/>
      <c r="D132" s="4"/>
      <c r="E132" s="4"/>
      <c r="F132" s="4" t="s">
        <v>179</v>
      </c>
      <c r="G132" s="4"/>
      <c r="H132" s="70">
        <v>6005.45</v>
      </c>
      <c r="I132" s="70">
        <v>4411.84</v>
      </c>
      <c r="J132" s="70">
        <v>1593.61</v>
      </c>
    </row>
    <row r="133" spans="1:10">
      <c r="A133" s="4"/>
      <c r="B133" s="4"/>
      <c r="C133" s="4"/>
      <c r="D133" s="4"/>
      <c r="E133" s="4"/>
      <c r="F133" s="4" t="s">
        <v>382</v>
      </c>
      <c r="G133" s="4"/>
      <c r="H133" s="70">
        <v>1610.5</v>
      </c>
      <c r="I133" s="70">
        <v>0</v>
      </c>
      <c r="J133" s="70">
        <v>1610.5</v>
      </c>
    </row>
    <row r="134" spans="1:10" ht="15.75" thickBot="1">
      <c r="A134" s="4"/>
      <c r="B134" s="4"/>
      <c r="C134" s="4"/>
      <c r="D134" s="4"/>
      <c r="E134" s="4"/>
      <c r="F134" s="4" t="s">
        <v>180</v>
      </c>
      <c r="G134" s="4"/>
      <c r="H134" s="71">
        <v>0</v>
      </c>
      <c r="I134" s="71">
        <v>943.43</v>
      </c>
      <c r="J134" s="71">
        <v>-943.43</v>
      </c>
    </row>
    <row r="135" spans="1:10">
      <c r="A135" s="4"/>
      <c r="B135" s="4"/>
      <c r="C135" s="4"/>
      <c r="D135" s="4"/>
      <c r="E135" s="4" t="s">
        <v>181</v>
      </c>
      <c r="F135" s="4"/>
      <c r="G135" s="4"/>
      <c r="H135" s="62">
        <v>12805.23</v>
      </c>
      <c r="I135" s="62">
        <v>8873.48</v>
      </c>
      <c r="J135" s="70">
        <v>3931.75</v>
      </c>
    </row>
    <row r="136" spans="1:10">
      <c r="A136" s="4"/>
      <c r="B136" s="4"/>
      <c r="C136" s="4"/>
      <c r="D136" s="4"/>
      <c r="E136" s="4" t="s">
        <v>182</v>
      </c>
      <c r="F136" s="4"/>
      <c r="G136" s="4"/>
      <c r="H136" s="70"/>
      <c r="I136" s="70"/>
      <c r="J136" s="70"/>
    </row>
    <row r="137" spans="1:10">
      <c r="A137" s="4"/>
      <c r="B137" s="4"/>
      <c r="C137" s="4"/>
      <c r="D137" s="4"/>
      <c r="E137" s="4"/>
      <c r="F137" s="4" t="s">
        <v>183</v>
      </c>
      <c r="G137" s="4"/>
      <c r="H137" s="70">
        <v>10650.07</v>
      </c>
      <c r="I137" s="70">
        <v>838.24</v>
      </c>
      <c r="J137" s="70">
        <v>9811.83</v>
      </c>
    </row>
    <row r="138" spans="1:10">
      <c r="A138" s="4"/>
      <c r="B138" s="4"/>
      <c r="C138" s="4"/>
      <c r="D138" s="4"/>
      <c r="E138" s="4"/>
      <c r="F138" s="4" t="s">
        <v>184</v>
      </c>
      <c r="G138" s="4"/>
      <c r="H138" s="70">
        <v>742.82</v>
      </c>
      <c r="I138" s="70">
        <v>446.18</v>
      </c>
      <c r="J138" s="70">
        <v>296.64</v>
      </c>
    </row>
    <row r="139" spans="1:10">
      <c r="A139" s="4"/>
      <c r="B139" s="4"/>
      <c r="C139" s="4"/>
      <c r="D139" s="4"/>
      <c r="E139" s="4"/>
      <c r="F139" s="4" t="s">
        <v>185</v>
      </c>
      <c r="G139" s="4"/>
      <c r="H139" s="70">
        <v>60.44</v>
      </c>
      <c r="I139" s="70">
        <v>137.29</v>
      </c>
      <c r="J139" s="70">
        <v>-76.849999999999994</v>
      </c>
    </row>
    <row r="140" spans="1:10">
      <c r="A140" s="4"/>
      <c r="B140" s="4"/>
      <c r="C140" s="4"/>
      <c r="D140" s="4"/>
      <c r="E140" s="4"/>
      <c r="F140" s="4" t="s">
        <v>186</v>
      </c>
      <c r="G140" s="4"/>
      <c r="H140" s="70">
        <v>1596.65</v>
      </c>
      <c r="I140" s="70">
        <v>1866.16</v>
      </c>
      <c r="J140" s="70">
        <v>-269.51</v>
      </c>
    </row>
    <row r="141" spans="1:10">
      <c r="A141" s="4"/>
      <c r="B141" s="4"/>
      <c r="C141" s="4"/>
      <c r="D141" s="4"/>
      <c r="E141" s="4"/>
      <c r="F141" s="4" t="s">
        <v>187</v>
      </c>
      <c r="G141" s="4"/>
      <c r="H141" s="70">
        <v>2563.2800000000002</v>
      </c>
      <c r="I141" s="70">
        <v>1493.94</v>
      </c>
      <c r="J141" s="70">
        <v>1069.3399999999999</v>
      </c>
    </row>
    <row r="142" spans="1:10">
      <c r="A142" s="4"/>
      <c r="B142" s="4"/>
      <c r="C142" s="4"/>
      <c r="D142" s="4"/>
      <c r="E142" s="4"/>
      <c r="F142" s="4" t="s">
        <v>188</v>
      </c>
      <c r="G142" s="4"/>
      <c r="H142" s="70">
        <v>1045.2</v>
      </c>
      <c r="I142" s="70">
        <v>350.8</v>
      </c>
      <c r="J142" s="70">
        <v>694.4</v>
      </c>
    </row>
    <row r="143" spans="1:10">
      <c r="A143" s="4"/>
      <c r="B143" s="4"/>
      <c r="C143" s="4"/>
      <c r="D143" s="4"/>
      <c r="E143" s="4"/>
      <c r="F143" s="4" t="s">
        <v>417</v>
      </c>
      <c r="G143" s="4"/>
      <c r="H143" s="70">
        <v>361.65</v>
      </c>
      <c r="I143" s="70">
        <v>0</v>
      </c>
      <c r="J143" s="70">
        <v>361.65</v>
      </c>
    </row>
    <row r="144" spans="1:10" ht="15.75" thickBot="1">
      <c r="A144" s="4"/>
      <c r="B144" s="4"/>
      <c r="C144" s="4"/>
      <c r="D144" s="4"/>
      <c r="E144" s="4"/>
      <c r="F144" s="4" t="s">
        <v>189</v>
      </c>
      <c r="G144" s="4"/>
      <c r="H144" s="71">
        <v>555.83000000000004</v>
      </c>
      <c r="I144" s="71">
        <v>11219.79</v>
      </c>
      <c r="J144" s="71">
        <v>-10663.96</v>
      </c>
    </row>
    <row r="145" spans="1:10">
      <c r="A145" s="4"/>
      <c r="B145" s="4"/>
      <c r="C145" s="4"/>
      <c r="D145" s="4"/>
      <c r="E145" s="4" t="s">
        <v>190</v>
      </c>
      <c r="F145" s="4"/>
      <c r="G145" s="4"/>
      <c r="H145" s="90">
        <v>17575.939999999999</v>
      </c>
      <c r="I145" s="90">
        <v>16352.4</v>
      </c>
      <c r="J145" s="70">
        <v>1223.54</v>
      </c>
    </row>
    <row r="146" spans="1:10">
      <c r="A146" s="4"/>
      <c r="B146" s="4"/>
      <c r="C146" s="4"/>
      <c r="D146" s="4"/>
      <c r="E146" s="4" t="s">
        <v>418</v>
      </c>
      <c r="F146" s="4"/>
      <c r="G146" s="4"/>
      <c r="H146" s="70"/>
      <c r="I146" s="70"/>
      <c r="J146" s="70"/>
    </row>
    <row r="147" spans="1:10">
      <c r="A147" s="4"/>
      <c r="B147" s="4"/>
      <c r="C147" s="4"/>
      <c r="D147" s="4"/>
      <c r="E147" s="4"/>
      <c r="F147" s="4" t="s">
        <v>191</v>
      </c>
      <c r="G147" s="4"/>
      <c r="H147" s="70">
        <v>4785.3100000000004</v>
      </c>
      <c r="I147" s="70">
        <v>2954.58</v>
      </c>
      <c r="J147" s="70">
        <v>1830.73</v>
      </c>
    </row>
    <row r="148" spans="1:10">
      <c r="A148" s="4"/>
      <c r="B148" s="4"/>
      <c r="C148" s="4"/>
      <c r="D148" s="4"/>
      <c r="E148" s="4"/>
      <c r="F148" s="4" t="s">
        <v>192</v>
      </c>
      <c r="G148" s="4"/>
      <c r="H148" s="70">
        <v>1047.79</v>
      </c>
      <c r="I148" s="70">
        <v>200.34</v>
      </c>
      <c r="J148" s="70">
        <v>847.45</v>
      </c>
    </row>
    <row r="149" spans="1:10">
      <c r="A149" s="4"/>
      <c r="B149" s="4"/>
      <c r="C149" s="4"/>
      <c r="D149" s="4"/>
      <c r="E149" s="4"/>
      <c r="F149" s="4" t="s">
        <v>193</v>
      </c>
      <c r="G149" s="4"/>
      <c r="H149" s="70">
        <v>2761.64</v>
      </c>
      <c r="I149" s="70">
        <v>10759.58</v>
      </c>
      <c r="J149" s="70">
        <v>-7997.94</v>
      </c>
    </row>
    <row r="150" spans="1:10">
      <c r="A150" s="4"/>
      <c r="B150" s="4"/>
      <c r="C150" s="4"/>
      <c r="D150" s="4"/>
      <c r="E150" s="4"/>
      <c r="F150" s="4" t="s">
        <v>419</v>
      </c>
      <c r="G150" s="4"/>
      <c r="H150" s="70">
        <v>1487.22</v>
      </c>
      <c r="I150" s="70">
        <v>0</v>
      </c>
      <c r="J150" s="70">
        <v>1487.22</v>
      </c>
    </row>
    <row r="151" spans="1:10" ht="15.75" thickBot="1">
      <c r="A151" s="4"/>
      <c r="B151" s="4"/>
      <c r="C151" s="4"/>
      <c r="D151" s="4"/>
      <c r="E151" s="4"/>
      <c r="F151" s="4" t="s">
        <v>420</v>
      </c>
      <c r="G151" s="4"/>
      <c r="H151" s="71">
        <v>206.39</v>
      </c>
      <c r="I151" s="71">
        <v>17.190000000000001</v>
      </c>
      <c r="J151" s="71">
        <v>189.2</v>
      </c>
    </row>
    <row r="152" spans="1:10">
      <c r="A152" s="4"/>
      <c r="B152" s="4"/>
      <c r="C152" s="4"/>
      <c r="D152" s="4"/>
      <c r="E152" s="4" t="s">
        <v>421</v>
      </c>
      <c r="F152" s="4"/>
      <c r="G152" s="4"/>
      <c r="H152" s="77">
        <v>10288.35</v>
      </c>
      <c r="I152" s="77">
        <v>13931.69</v>
      </c>
      <c r="J152" s="70">
        <v>-3643.34</v>
      </c>
    </row>
    <row r="153" spans="1:10">
      <c r="A153" s="4"/>
      <c r="B153" s="4"/>
      <c r="C153" s="4"/>
      <c r="D153" s="4"/>
      <c r="E153" s="4" t="s">
        <v>194</v>
      </c>
      <c r="F153" s="4"/>
      <c r="G153" s="4"/>
      <c r="H153" s="70"/>
      <c r="I153" s="70"/>
      <c r="J153" s="70"/>
    </row>
    <row r="154" spans="1:10">
      <c r="A154" s="4"/>
      <c r="B154" s="4"/>
      <c r="C154" s="4"/>
      <c r="D154" s="4"/>
      <c r="E154" s="4"/>
      <c r="F154" s="4" t="s">
        <v>195</v>
      </c>
      <c r="G154" s="4"/>
      <c r="H154" s="70">
        <v>49034.89</v>
      </c>
      <c r="I154" s="70">
        <v>38827.29</v>
      </c>
      <c r="J154" s="70">
        <v>10207.6</v>
      </c>
    </row>
    <row r="155" spans="1:10">
      <c r="A155" s="4"/>
      <c r="B155" s="4"/>
      <c r="C155" s="4"/>
      <c r="D155" s="4"/>
      <c r="E155" s="4"/>
      <c r="F155" s="4" t="s">
        <v>196</v>
      </c>
      <c r="G155" s="4"/>
      <c r="H155" s="70">
        <v>20571.28</v>
      </c>
      <c r="I155" s="70">
        <v>12092.25</v>
      </c>
      <c r="J155" s="70">
        <v>8479.0300000000007</v>
      </c>
    </row>
    <row r="156" spans="1:10">
      <c r="A156" s="4"/>
      <c r="B156" s="4"/>
      <c r="C156" s="4"/>
      <c r="D156" s="4"/>
      <c r="E156" s="4"/>
      <c r="F156" s="4" t="s">
        <v>197</v>
      </c>
      <c r="G156" s="4"/>
      <c r="H156" s="70">
        <v>9868.2800000000007</v>
      </c>
      <c r="I156" s="70">
        <v>5701.03</v>
      </c>
      <c r="J156" s="70">
        <v>4167.25</v>
      </c>
    </row>
    <row r="157" spans="1:10" ht="15.75" thickBot="1">
      <c r="A157" s="4"/>
      <c r="B157" s="4"/>
      <c r="C157" s="4"/>
      <c r="D157" s="4"/>
      <c r="E157" s="4"/>
      <c r="F157" s="4" t="s">
        <v>383</v>
      </c>
      <c r="G157" s="4"/>
      <c r="H157" s="71">
        <v>966.25</v>
      </c>
      <c r="I157" s="71">
        <v>0</v>
      </c>
      <c r="J157" s="71">
        <v>966.25</v>
      </c>
    </row>
    <row r="158" spans="1:10">
      <c r="A158" s="4"/>
      <c r="B158" s="4"/>
      <c r="C158" s="4"/>
      <c r="D158" s="4"/>
      <c r="E158" s="4" t="s">
        <v>198</v>
      </c>
      <c r="F158" s="4"/>
      <c r="G158" s="4"/>
      <c r="H158" s="63">
        <v>80440.7</v>
      </c>
      <c r="I158" s="63">
        <v>56620.57</v>
      </c>
      <c r="J158" s="70">
        <v>23820.13</v>
      </c>
    </row>
    <row r="159" spans="1:10">
      <c r="A159" s="4"/>
      <c r="B159" s="4"/>
      <c r="C159" s="4"/>
      <c r="D159" s="4"/>
      <c r="E159" s="4" t="s">
        <v>422</v>
      </c>
      <c r="F159" s="4"/>
      <c r="G159" s="4"/>
      <c r="H159" s="70"/>
      <c r="I159" s="70"/>
      <c r="J159" s="70"/>
    </row>
    <row r="160" spans="1:10">
      <c r="A160" s="4"/>
      <c r="B160" s="4"/>
      <c r="C160" s="4"/>
      <c r="D160" s="4"/>
      <c r="E160" s="4"/>
      <c r="F160" s="4" t="s">
        <v>199</v>
      </c>
      <c r="G160" s="4"/>
      <c r="H160" s="70">
        <v>12977.53</v>
      </c>
      <c r="I160" s="70">
        <v>12829.01</v>
      </c>
      <c r="J160" s="70">
        <v>148.52000000000001</v>
      </c>
    </row>
    <row r="161" spans="1:10">
      <c r="A161" s="4"/>
      <c r="B161" s="4"/>
      <c r="C161" s="4"/>
      <c r="D161" s="4"/>
      <c r="E161" s="4"/>
      <c r="F161" s="4" t="s">
        <v>200</v>
      </c>
      <c r="G161" s="4"/>
      <c r="H161" s="70">
        <v>6528.66</v>
      </c>
      <c r="I161" s="70">
        <v>7234.27</v>
      </c>
      <c r="J161" s="70">
        <v>-705.61</v>
      </c>
    </row>
    <row r="162" spans="1:10" ht="15.75" thickBot="1">
      <c r="A162" s="4"/>
      <c r="B162" s="4"/>
      <c r="C162" s="4"/>
      <c r="D162" s="4"/>
      <c r="E162" s="4"/>
      <c r="F162" s="4" t="s">
        <v>423</v>
      </c>
      <c r="G162" s="4"/>
      <c r="H162" s="71">
        <v>3600</v>
      </c>
      <c r="I162" s="71">
        <v>0</v>
      </c>
      <c r="J162" s="71">
        <v>3600</v>
      </c>
    </row>
    <row r="163" spans="1:10">
      <c r="A163" s="4"/>
      <c r="B163" s="4"/>
      <c r="C163" s="4"/>
      <c r="D163" s="4"/>
      <c r="E163" s="4" t="s">
        <v>424</v>
      </c>
      <c r="F163" s="4"/>
      <c r="G163" s="4"/>
      <c r="H163" s="63">
        <v>23106.19</v>
      </c>
      <c r="I163" s="63">
        <v>20063.28</v>
      </c>
      <c r="J163" s="70">
        <v>3042.91</v>
      </c>
    </row>
    <row r="164" spans="1:10">
      <c r="A164" s="4"/>
      <c r="B164" s="4"/>
      <c r="C164" s="4"/>
      <c r="D164" s="4"/>
      <c r="E164" s="4" t="s">
        <v>201</v>
      </c>
      <c r="F164" s="4"/>
      <c r="G164" s="4"/>
      <c r="H164" s="70"/>
      <c r="I164" s="70"/>
      <c r="J164" s="70"/>
    </row>
    <row r="165" spans="1:10">
      <c r="A165" s="4"/>
      <c r="B165" s="4"/>
      <c r="C165" s="4"/>
      <c r="D165" s="4"/>
      <c r="E165" s="4"/>
      <c r="F165" s="4" t="s">
        <v>202</v>
      </c>
      <c r="G165" s="4"/>
      <c r="H165" s="70">
        <v>24573.51</v>
      </c>
      <c r="I165" s="70">
        <v>6556.57</v>
      </c>
      <c r="J165" s="70">
        <v>18016.939999999999</v>
      </c>
    </row>
    <row r="166" spans="1:10" ht="15.75" thickBot="1">
      <c r="A166" s="4"/>
      <c r="B166" s="4"/>
      <c r="C166" s="4"/>
      <c r="D166" s="4"/>
      <c r="E166" s="4"/>
      <c r="F166" s="4" t="s">
        <v>203</v>
      </c>
      <c r="G166" s="4"/>
      <c r="H166" s="71">
        <v>393.78</v>
      </c>
      <c r="I166" s="71">
        <v>1874.01</v>
      </c>
      <c r="J166" s="71">
        <v>-1480.23</v>
      </c>
    </row>
    <row r="167" spans="1:10">
      <c r="A167" s="4"/>
      <c r="B167" s="4"/>
      <c r="C167" s="4"/>
      <c r="D167" s="4"/>
      <c r="E167" s="4" t="s">
        <v>204</v>
      </c>
      <c r="F167" s="4"/>
      <c r="G167" s="4"/>
      <c r="H167" s="63">
        <v>24967.29</v>
      </c>
      <c r="I167" s="63">
        <v>8430.58</v>
      </c>
      <c r="J167" s="70">
        <v>16536.71</v>
      </c>
    </row>
    <row r="168" spans="1:10">
      <c r="A168" s="4"/>
      <c r="B168" s="4"/>
      <c r="C168" s="4"/>
      <c r="D168" s="4"/>
      <c r="E168" s="4" t="s">
        <v>205</v>
      </c>
      <c r="F168" s="4"/>
      <c r="G168" s="4"/>
      <c r="H168" s="70"/>
      <c r="I168" s="70"/>
      <c r="J168" s="70"/>
    </row>
    <row r="169" spans="1:10">
      <c r="A169" s="4"/>
      <c r="B169" s="4"/>
      <c r="C169" s="4"/>
      <c r="D169" s="4"/>
      <c r="E169" s="4"/>
      <c r="F169" s="4" t="s">
        <v>206</v>
      </c>
      <c r="G169" s="4"/>
      <c r="H169" s="70">
        <v>12277.23</v>
      </c>
      <c r="I169" s="70">
        <v>16851.150000000001</v>
      </c>
      <c r="J169" s="70">
        <v>-4573.92</v>
      </c>
    </row>
    <row r="170" spans="1:10">
      <c r="A170" s="4"/>
      <c r="B170" s="4"/>
      <c r="C170" s="4"/>
      <c r="D170" s="4"/>
      <c r="E170" s="4"/>
      <c r="F170" s="4" t="s">
        <v>425</v>
      </c>
      <c r="G170" s="4"/>
      <c r="H170" s="70">
        <v>1415.73</v>
      </c>
      <c r="I170" s="70">
        <v>0</v>
      </c>
      <c r="J170" s="70">
        <v>1415.73</v>
      </c>
    </row>
    <row r="171" spans="1:10" ht="15.75" thickBot="1">
      <c r="A171" s="4"/>
      <c r="B171" s="4"/>
      <c r="C171" s="4"/>
      <c r="D171" s="4"/>
      <c r="E171" s="4"/>
      <c r="F171" s="4" t="s">
        <v>426</v>
      </c>
      <c r="G171" s="4"/>
      <c r="H171" s="71">
        <v>0</v>
      </c>
      <c r="I171" s="71">
        <v>0</v>
      </c>
      <c r="J171" s="71">
        <v>0</v>
      </c>
    </row>
    <row r="172" spans="1:10">
      <c r="A172" s="4"/>
      <c r="B172" s="4"/>
      <c r="C172" s="4"/>
      <c r="D172" s="4"/>
      <c r="E172" s="4" t="s">
        <v>207</v>
      </c>
      <c r="F172" s="4"/>
      <c r="G172" s="4"/>
      <c r="H172" s="74">
        <v>13692.96</v>
      </c>
      <c r="I172" s="74">
        <v>16851.150000000001</v>
      </c>
      <c r="J172" s="70">
        <v>-3158.19</v>
      </c>
    </row>
    <row r="173" spans="1:10">
      <c r="A173" s="4"/>
      <c r="B173" s="4"/>
      <c r="C173" s="4"/>
      <c r="D173" s="4"/>
      <c r="E173" s="4" t="s">
        <v>208</v>
      </c>
      <c r="F173" s="4"/>
      <c r="G173" s="4"/>
      <c r="H173" s="70"/>
      <c r="I173" s="70"/>
      <c r="J173" s="70"/>
    </row>
    <row r="174" spans="1:10">
      <c r="A174" s="4"/>
      <c r="B174" s="4"/>
      <c r="C174" s="4"/>
      <c r="D174" s="4"/>
      <c r="E174" s="4"/>
      <c r="F174" s="4" t="s">
        <v>209</v>
      </c>
      <c r="G174" s="4"/>
      <c r="H174" s="70">
        <v>3557.9</v>
      </c>
      <c r="I174" s="70">
        <v>6938.63</v>
      </c>
      <c r="J174" s="70">
        <v>-3380.73</v>
      </c>
    </row>
    <row r="175" spans="1:10">
      <c r="A175" s="4"/>
      <c r="B175" s="4"/>
      <c r="C175" s="4"/>
      <c r="D175" s="4"/>
      <c r="E175" s="4"/>
      <c r="F175" s="4" t="s">
        <v>427</v>
      </c>
      <c r="G175" s="4"/>
      <c r="H175" s="70">
        <v>35.53</v>
      </c>
      <c r="I175" s="70">
        <v>0</v>
      </c>
      <c r="J175" s="70">
        <v>35.53</v>
      </c>
    </row>
    <row r="176" spans="1:10">
      <c r="A176" s="4"/>
      <c r="B176" s="4"/>
      <c r="C176" s="4"/>
      <c r="D176" s="4"/>
      <c r="E176" s="4"/>
      <c r="F176" s="4" t="s">
        <v>210</v>
      </c>
      <c r="G176" s="4"/>
      <c r="H176" s="70">
        <v>4621.55</v>
      </c>
      <c r="I176" s="70">
        <v>4562.76</v>
      </c>
      <c r="J176" s="70">
        <v>58.79</v>
      </c>
    </row>
    <row r="177" spans="1:10" ht="15.75" thickBot="1">
      <c r="A177" s="4"/>
      <c r="B177" s="4"/>
      <c r="C177" s="4"/>
      <c r="D177" s="4"/>
      <c r="E177" s="4"/>
      <c r="F177" s="4" t="s">
        <v>428</v>
      </c>
      <c r="G177" s="4"/>
      <c r="H177" s="71">
        <v>0</v>
      </c>
      <c r="I177" s="71">
        <v>0</v>
      </c>
      <c r="J177" s="71">
        <v>0</v>
      </c>
    </row>
    <row r="178" spans="1:10">
      <c r="A178" s="4"/>
      <c r="B178" s="4"/>
      <c r="C178" s="4"/>
      <c r="D178" s="4"/>
      <c r="E178" s="4" t="s">
        <v>211</v>
      </c>
      <c r="F178" s="4"/>
      <c r="G178" s="4"/>
      <c r="H178" s="74">
        <v>8214.98</v>
      </c>
      <c r="I178" s="74">
        <v>11501.39</v>
      </c>
      <c r="J178" s="70">
        <v>-3286.41</v>
      </c>
    </row>
    <row r="179" spans="1:10">
      <c r="A179" s="4"/>
      <c r="B179" s="4"/>
      <c r="C179" s="4"/>
      <c r="D179" s="4"/>
      <c r="E179" s="4" t="s">
        <v>212</v>
      </c>
      <c r="F179" s="4"/>
      <c r="G179" s="4"/>
      <c r="H179" s="70"/>
      <c r="I179" s="70"/>
      <c r="J179" s="70"/>
    </row>
    <row r="180" spans="1:10">
      <c r="A180" s="4"/>
      <c r="B180" s="4"/>
      <c r="C180" s="4"/>
      <c r="D180" s="4"/>
      <c r="E180" s="4"/>
      <c r="F180" s="4" t="s">
        <v>213</v>
      </c>
      <c r="G180" s="4"/>
      <c r="H180" s="70">
        <v>1130.5999999999999</v>
      </c>
      <c r="I180" s="70">
        <v>1830.36</v>
      </c>
      <c r="J180" s="70">
        <v>-699.76</v>
      </c>
    </row>
    <row r="181" spans="1:10">
      <c r="A181" s="4"/>
      <c r="B181" s="4"/>
      <c r="C181" s="4"/>
      <c r="D181" s="4"/>
      <c r="E181" s="4"/>
      <c r="F181" s="4" t="s">
        <v>214</v>
      </c>
      <c r="G181" s="4"/>
      <c r="H181" s="70">
        <v>2239.39</v>
      </c>
      <c r="I181" s="70">
        <v>3414.23</v>
      </c>
      <c r="J181" s="70">
        <v>-1174.8399999999999</v>
      </c>
    </row>
    <row r="182" spans="1:10" ht="15.75" thickBot="1">
      <c r="A182" s="4"/>
      <c r="B182" s="4"/>
      <c r="C182" s="4"/>
      <c r="D182" s="4"/>
      <c r="E182" s="4"/>
      <c r="F182" s="4" t="s">
        <v>215</v>
      </c>
      <c r="G182" s="4"/>
      <c r="H182" s="71">
        <v>1033.8399999999999</v>
      </c>
      <c r="I182" s="71">
        <v>947.17</v>
      </c>
      <c r="J182" s="71">
        <v>86.67</v>
      </c>
    </row>
    <row r="183" spans="1:10">
      <c r="A183" s="4"/>
      <c r="B183" s="4"/>
      <c r="C183" s="4"/>
      <c r="D183" s="4"/>
      <c r="E183" s="4" t="s">
        <v>216</v>
      </c>
      <c r="F183" s="4"/>
      <c r="G183" s="4"/>
      <c r="H183" s="74">
        <v>4403.83</v>
      </c>
      <c r="I183" s="74">
        <v>6191.76</v>
      </c>
      <c r="J183" s="70">
        <v>-1787.93</v>
      </c>
    </row>
    <row r="184" spans="1:10">
      <c r="A184" s="4"/>
      <c r="B184" s="4"/>
      <c r="C184" s="4"/>
      <c r="D184" s="4"/>
      <c r="E184" s="4" t="s">
        <v>217</v>
      </c>
      <c r="F184" s="4"/>
      <c r="G184" s="4"/>
      <c r="H184" s="61">
        <v>16059.44</v>
      </c>
      <c r="I184" s="61">
        <v>18608.849999999999</v>
      </c>
      <c r="J184" s="70">
        <v>-2549.41</v>
      </c>
    </row>
    <row r="185" spans="1:10" ht="15.75" thickBot="1">
      <c r="A185" s="4"/>
      <c r="B185" s="4"/>
      <c r="C185" s="4"/>
      <c r="D185" s="4"/>
      <c r="E185" s="4" t="s">
        <v>429</v>
      </c>
      <c r="F185" s="4"/>
      <c r="G185" s="4"/>
      <c r="H185" s="92">
        <v>78300</v>
      </c>
      <c r="I185" s="71">
        <v>0</v>
      </c>
      <c r="J185" s="71">
        <v>78300</v>
      </c>
    </row>
    <row r="186" spans="1:10">
      <c r="A186" s="4"/>
      <c r="B186" s="4"/>
      <c r="C186" s="4"/>
      <c r="D186" s="4" t="s">
        <v>218</v>
      </c>
      <c r="E186" s="4"/>
      <c r="F186" s="4"/>
      <c r="G186" s="4"/>
      <c r="H186" s="70">
        <v>929661.27</v>
      </c>
      <c r="I186" s="70">
        <v>749024.85</v>
      </c>
      <c r="J186" s="70">
        <v>180636.42</v>
      </c>
    </row>
    <row r="187" spans="1:10">
      <c r="A187" s="4"/>
      <c r="B187" s="4"/>
      <c r="C187" s="4"/>
      <c r="D187" s="4" t="s">
        <v>219</v>
      </c>
      <c r="E187" s="4"/>
      <c r="F187" s="4"/>
      <c r="G187" s="4"/>
      <c r="H187" s="70"/>
      <c r="I187" s="70"/>
      <c r="J187" s="70"/>
    </row>
    <row r="188" spans="1:10">
      <c r="A188" s="4"/>
      <c r="B188" s="4"/>
      <c r="C188" s="4"/>
      <c r="D188" s="4"/>
      <c r="E188" s="4" t="s">
        <v>220</v>
      </c>
      <c r="F188" s="4"/>
      <c r="G188" s="4"/>
      <c r="H188" s="70"/>
      <c r="I188" s="70"/>
      <c r="J188" s="70"/>
    </row>
    <row r="189" spans="1:10">
      <c r="A189" s="4"/>
      <c r="B189" s="4"/>
      <c r="C189" s="4"/>
      <c r="D189" s="4"/>
      <c r="E189" s="4"/>
      <c r="F189" s="4" t="s">
        <v>221</v>
      </c>
      <c r="G189" s="4"/>
      <c r="H189" s="70">
        <v>350</v>
      </c>
      <c r="I189" s="70">
        <v>0</v>
      </c>
      <c r="J189" s="70">
        <v>350</v>
      </c>
    </row>
    <row r="190" spans="1:10" ht="15.75" thickBot="1">
      <c r="A190" s="4"/>
      <c r="B190" s="4"/>
      <c r="C190" s="4"/>
      <c r="D190" s="4"/>
      <c r="E190" s="4"/>
      <c r="F190" s="4" t="s">
        <v>222</v>
      </c>
      <c r="G190" s="4"/>
      <c r="H190" s="71">
        <v>180050.75</v>
      </c>
      <c r="I190" s="71">
        <v>175161.82</v>
      </c>
      <c r="J190" s="71">
        <v>4888.93</v>
      </c>
    </row>
    <row r="191" spans="1:10">
      <c r="A191" s="4"/>
      <c r="B191" s="4"/>
      <c r="C191" s="4"/>
      <c r="D191" s="4"/>
      <c r="E191" s="4" t="s">
        <v>223</v>
      </c>
      <c r="F191" s="4"/>
      <c r="G191" s="4"/>
      <c r="H191" s="86">
        <v>180400.75</v>
      </c>
      <c r="I191" s="70">
        <v>175161.82</v>
      </c>
      <c r="J191" s="70">
        <v>5238.93</v>
      </c>
    </row>
    <row r="192" spans="1:10">
      <c r="A192" s="4"/>
      <c r="B192" s="4"/>
      <c r="C192" s="4"/>
      <c r="D192" s="4"/>
      <c r="E192" s="4" t="s">
        <v>224</v>
      </c>
      <c r="F192" s="4"/>
      <c r="G192" s="4"/>
      <c r="H192" s="70">
        <v>0</v>
      </c>
      <c r="I192" s="70">
        <v>913.06</v>
      </c>
      <c r="J192" s="70">
        <v>-913.06</v>
      </c>
    </row>
    <row r="193" spans="1:13">
      <c r="A193" s="4"/>
      <c r="B193" s="4"/>
      <c r="C193" s="4"/>
      <c r="D193" s="4"/>
      <c r="E193" s="4" t="s">
        <v>225</v>
      </c>
      <c r="F193" s="4"/>
      <c r="G193" s="4"/>
      <c r="H193" s="70"/>
      <c r="I193" s="70"/>
      <c r="J193" s="70"/>
    </row>
    <row r="194" spans="1:13">
      <c r="A194" s="4"/>
      <c r="B194" s="4"/>
      <c r="C194" s="4"/>
      <c r="D194" s="4"/>
      <c r="E194" s="4"/>
      <c r="F194" s="4" t="s">
        <v>226</v>
      </c>
      <c r="G194" s="4"/>
      <c r="H194" s="70">
        <v>13773.06</v>
      </c>
      <c r="I194" s="70">
        <v>13466.74</v>
      </c>
      <c r="J194" s="70">
        <v>306.32</v>
      </c>
    </row>
    <row r="195" spans="1:13">
      <c r="A195" s="4"/>
      <c r="B195" s="4"/>
      <c r="C195" s="4"/>
      <c r="D195" s="4"/>
      <c r="E195" s="4"/>
      <c r="F195" s="4" t="s">
        <v>227</v>
      </c>
      <c r="G195" s="4"/>
      <c r="H195" s="70">
        <v>0</v>
      </c>
      <c r="I195" s="70">
        <v>1122</v>
      </c>
      <c r="J195" s="70">
        <v>-1122</v>
      </c>
    </row>
    <row r="196" spans="1:13">
      <c r="A196" s="4"/>
      <c r="B196" s="4"/>
      <c r="C196" s="4"/>
      <c r="D196" s="4"/>
      <c r="E196" s="4"/>
      <c r="F196" s="4" t="s">
        <v>228</v>
      </c>
      <c r="G196" s="4"/>
      <c r="H196" s="70">
        <v>9948.3700000000008</v>
      </c>
      <c r="I196" s="70">
        <v>7934.69</v>
      </c>
      <c r="J196" s="70">
        <v>2013.68</v>
      </c>
    </row>
    <row r="197" spans="1:13">
      <c r="A197" s="4"/>
      <c r="B197" s="4"/>
      <c r="C197" s="4"/>
      <c r="D197" s="4"/>
      <c r="E197" s="4"/>
      <c r="F197" s="4" t="s">
        <v>430</v>
      </c>
      <c r="G197" s="4"/>
      <c r="H197" s="70">
        <v>2740</v>
      </c>
      <c r="I197" s="70">
        <v>1110.8</v>
      </c>
      <c r="J197" s="70">
        <v>1629.2</v>
      </c>
    </row>
    <row r="198" spans="1:13">
      <c r="A198" s="4"/>
      <c r="B198" s="4"/>
      <c r="C198" s="4"/>
      <c r="D198" s="4"/>
      <c r="E198" s="4"/>
      <c r="F198" s="4" t="s">
        <v>229</v>
      </c>
      <c r="G198" s="4"/>
      <c r="H198" s="70">
        <v>0</v>
      </c>
      <c r="I198" s="70">
        <v>2540.14</v>
      </c>
      <c r="J198" s="70">
        <v>-2540.14</v>
      </c>
    </row>
    <row r="199" spans="1:13">
      <c r="A199" s="4"/>
      <c r="B199" s="4"/>
      <c r="C199" s="4"/>
      <c r="D199" s="4"/>
      <c r="E199" s="4"/>
      <c r="F199" s="4" t="s">
        <v>230</v>
      </c>
      <c r="G199" s="4"/>
      <c r="H199" s="70">
        <v>10585</v>
      </c>
      <c r="I199" s="70">
        <v>15403.03</v>
      </c>
      <c r="J199" s="70">
        <v>-4818.03</v>
      </c>
    </row>
    <row r="200" spans="1:13">
      <c r="A200" s="4"/>
      <c r="B200" s="4"/>
      <c r="C200" s="4"/>
      <c r="D200" s="4"/>
      <c r="E200" s="4"/>
      <c r="F200" s="4" t="s">
        <v>231</v>
      </c>
      <c r="G200" s="4"/>
      <c r="H200" s="70">
        <v>-7.36</v>
      </c>
      <c r="I200" s="70">
        <v>0</v>
      </c>
      <c r="J200" s="70">
        <v>-7.36</v>
      </c>
    </row>
    <row r="201" spans="1:13">
      <c r="A201" s="4"/>
      <c r="B201" s="4"/>
      <c r="C201" s="4"/>
      <c r="D201" s="4"/>
      <c r="E201" s="4"/>
      <c r="F201" s="4" t="s">
        <v>431</v>
      </c>
      <c r="G201" s="4"/>
      <c r="H201" s="70">
        <v>4746.41</v>
      </c>
      <c r="I201" s="70">
        <v>0</v>
      </c>
      <c r="J201" s="70">
        <v>4746.41</v>
      </c>
    </row>
    <row r="202" spans="1:13">
      <c r="A202" s="4"/>
      <c r="B202" s="4"/>
      <c r="C202" s="4"/>
      <c r="D202" s="4"/>
      <c r="E202" s="4"/>
      <c r="F202" s="4" t="s">
        <v>232</v>
      </c>
      <c r="G202" s="4"/>
      <c r="H202" s="70">
        <v>0</v>
      </c>
      <c r="I202" s="70">
        <v>0</v>
      </c>
      <c r="J202" s="70">
        <v>0</v>
      </c>
    </row>
    <row r="203" spans="1:13" ht="15.75" thickBot="1">
      <c r="A203" s="4"/>
      <c r="B203" s="4"/>
      <c r="C203" s="4"/>
      <c r="D203" s="4"/>
      <c r="E203" s="4"/>
      <c r="F203" s="4" t="s">
        <v>432</v>
      </c>
      <c r="G203" s="4"/>
      <c r="H203" s="71">
        <v>270.82</v>
      </c>
      <c r="I203" s="71">
        <v>0</v>
      </c>
      <c r="J203" s="71">
        <v>270.82</v>
      </c>
    </row>
    <row r="204" spans="1:13">
      <c r="A204" s="4"/>
      <c r="B204" s="4"/>
      <c r="C204" s="4"/>
      <c r="D204" s="4"/>
      <c r="E204" s="4" t="s">
        <v>233</v>
      </c>
      <c r="F204" s="4"/>
      <c r="G204" s="4"/>
      <c r="H204" s="86">
        <v>42056.3</v>
      </c>
      <c r="I204" s="70">
        <v>41577.4</v>
      </c>
      <c r="J204" s="70">
        <v>478.9</v>
      </c>
      <c r="K204" s="85"/>
      <c r="M204" s="87"/>
    </row>
    <row r="205" spans="1:13">
      <c r="A205" s="4"/>
      <c r="B205" s="4"/>
      <c r="C205" s="4"/>
      <c r="D205" s="4"/>
      <c r="E205" s="4" t="s">
        <v>234</v>
      </c>
      <c r="F205" s="4"/>
      <c r="G205" s="4"/>
      <c r="H205" s="70">
        <v>7135.25</v>
      </c>
      <c r="I205" s="70">
        <v>9531.73</v>
      </c>
      <c r="J205" s="70">
        <v>-2396.48</v>
      </c>
    </row>
    <row r="206" spans="1:13">
      <c r="A206" s="4"/>
      <c r="B206" s="4"/>
      <c r="C206" s="4"/>
      <c r="D206" s="4"/>
      <c r="E206" s="4" t="s">
        <v>235</v>
      </c>
      <c r="F206" s="4"/>
      <c r="G206" s="4"/>
      <c r="H206" s="70"/>
      <c r="I206" s="70"/>
      <c r="J206" s="70"/>
    </row>
    <row r="207" spans="1:13">
      <c r="A207" s="4"/>
      <c r="B207" s="4"/>
      <c r="C207" s="4"/>
      <c r="D207" s="4"/>
      <c r="E207" s="4"/>
      <c r="F207" s="4" t="s">
        <v>236</v>
      </c>
      <c r="G207" s="4"/>
      <c r="H207" s="70">
        <v>836.75</v>
      </c>
      <c r="I207" s="70">
        <v>5863.71</v>
      </c>
      <c r="J207" s="70">
        <v>-5026.96</v>
      </c>
    </row>
    <row r="208" spans="1:13">
      <c r="A208" s="4"/>
      <c r="B208" s="4"/>
      <c r="C208" s="4"/>
      <c r="D208" s="4"/>
      <c r="E208" s="4"/>
      <c r="F208" s="4" t="s">
        <v>237</v>
      </c>
      <c r="G208" s="4"/>
      <c r="H208" s="70">
        <v>776.86</v>
      </c>
      <c r="I208" s="70">
        <v>735.99</v>
      </c>
      <c r="J208" s="70">
        <v>40.869999999999997</v>
      </c>
    </row>
    <row r="209" spans="1:10">
      <c r="A209" s="4"/>
      <c r="B209" s="4"/>
      <c r="C209" s="4"/>
      <c r="D209" s="4"/>
      <c r="E209" s="4"/>
      <c r="F209" s="4" t="s">
        <v>384</v>
      </c>
      <c r="G209" s="4"/>
      <c r="H209" s="70">
        <v>30</v>
      </c>
      <c r="I209" s="70">
        <v>0</v>
      </c>
      <c r="J209" s="70">
        <v>30</v>
      </c>
    </row>
    <row r="210" spans="1:10">
      <c r="A210" s="4"/>
      <c r="B210" s="4"/>
      <c r="C210" s="4"/>
      <c r="D210" s="4"/>
      <c r="E210" s="4"/>
      <c r="F210" s="4" t="s">
        <v>238</v>
      </c>
      <c r="G210" s="4"/>
      <c r="H210" s="70">
        <v>222.18</v>
      </c>
      <c r="I210" s="70">
        <v>125</v>
      </c>
      <c r="J210" s="70">
        <v>97.18</v>
      </c>
    </row>
    <row r="211" spans="1:10" ht="15.75" thickBot="1">
      <c r="A211" s="4"/>
      <c r="B211" s="4"/>
      <c r="C211" s="4"/>
      <c r="D211" s="4"/>
      <c r="E211" s="4"/>
      <c r="F211" s="4" t="s">
        <v>433</v>
      </c>
      <c r="G211" s="4"/>
      <c r="H211" s="71">
        <v>69.209999999999994</v>
      </c>
      <c r="I211" s="71">
        <v>0</v>
      </c>
      <c r="J211" s="71">
        <v>69.209999999999994</v>
      </c>
    </row>
    <row r="212" spans="1:10">
      <c r="A212" s="4"/>
      <c r="B212" s="4"/>
      <c r="C212" s="4"/>
      <c r="D212" s="4"/>
      <c r="E212" s="4" t="s">
        <v>239</v>
      </c>
      <c r="F212" s="4"/>
      <c r="G212" s="4"/>
      <c r="H212" s="65">
        <v>1935</v>
      </c>
      <c r="I212" s="65">
        <v>6724.7</v>
      </c>
      <c r="J212" s="70">
        <v>-4789.7</v>
      </c>
    </row>
    <row r="213" spans="1:10">
      <c r="A213" s="4"/>
      <c r="B213" s="4"/>
      <c r="C213" s="4"/>
      <c r="D213" s="4"/>
      <c r="E213" s="4" t="s">
        <v>240</v>
      </c>
      <c r="F213" s="4"/>
      <c r="G213" s="4"/>
      <c r="H213" s="66">
        <v>329</v>
      </c>
      <c r="I213" s="66">
        <v>1198.7</v>
      </c>
      <c r="J213" s="70">
        <v>-869.7</v>
      </c>
    </row>
    <row r="214" spans="1:10">
      <c r="A214" s="4"/>
      <c r="B214" s="4"/>
      <c r="C214" s="4"/>
      <c r="D214" s="4"/>
      <c r="E214" s="4" t="s">
        <v>434</v>
      </c>
      <c r="F214" s="4"/>
      <c r="G214" s="4"/>
      <c r="H214" s="89">
        <v>58.91</v>
      </c>
      <c r="I214" s="89">
        <v>0</v>
      </c>
      <c r="J214" s="70">
        <v>58.91</v>
      </c>
    </row>
    <row r="215" spans="1:10">
      <c r="A215" s="4"/>
      <c r="B215" s="4"/>
      <c r="C215" s="4"/>
      <c r="D215" s="4"/>
      <c r="E215" s="4" t="s">
        <v>241</v>
      </c>
      <c r="F215" s="4"/>
      <c r="G215" s="4"/>
      <c r="H215" s="70"/>
      <c r="I215" s="70"/>
      <c r="J215" s="70"/>
    </row>
    <row r="216" spans="1:10">
      <c r="A216" s="4"/>
      <c r="B216" s="4"/>
      <c r="C216" s="4"/>
      <c r="D216" s="4"/>
      <c r="E216" s="4"/>
      <c r="F216" s="4" t="s">
        <v>242</v>
      </c>
      <c r="G216" s="4"/>
      <c r="H216" s="70">
        <v>1931.06</v>
      </c>
      <c r="I216" s="70">
        <v>2708.78</v>
      </c>
      <c r="J216" s="70">
        <v>-777.72</v>
      </c>
    </row>
    <row r="217" spans="1:10">
      <c r="A217" s="4"/>
      <c r="B217" s="4"/>
      <c r="C217" s="4"/>
      <c r="D217" s="4"/>
      <c r="E217" s="4"/>
      <c r="F217" s="4" t="s">
        <v>243</v>
      </c>
      <c r="G217" s="4"/>
      <c r="H217" s="70">
        <v>6468.07</v>
      </c>
      <c r="I217" s="70">
        <v>3197.05</v>
      </c>
      <c r="J217" s="70">
        <v>3271.02</v>
      </c>
    </row>
    <row r="218" spans="1:10">
      <c r="A218" s="4"/>
      <c r="B218" s="4"/>
      <c r="C218" s="4"/>
      <c r="D218" s="4"/>
      <c r="E218" s="4"/>
      <c r="F218" s="4" t="s">
        <v>244</v>
      </c>
      <c r="G218" s="4"/>
      <c r="H218" s="70">
        <v>767.44</v>
      </c>
      <c r="I218" s="70">
        <v>903.38</v>
      </c>
      <c r="J218" s="70">
        <v>-135.94</v>
      </c>
    </row>
    <row r="219" spans="1:10">
      <c r="A219" s="4"/>
      <c r="B219" s="4"/>
      <c r="C219" s="4"/>
      <c r="D219" s="4"/>
      <c r="E219" s="4"/>
      <c r="F219" s="4" t="s">
        <v>385</v>
      </c>
      <c r="G219" s="4"/>
      <c r="H219" s="70"/>
      <c r="I219" s="70"/>
      <c r="J219" s="70"/>
    </row>
    <row r="220" spans="1:10">
      <c r="A220" s="4"/>
      <c r="B220" s="4"/>
      <c r="C220" s="4"/>
      <c r="D220" s="4"/>
      <c r="E220" s="4"/>
      <c r="F220" s="4"/>
      <c r="G220" s="4" t="s">
        <v>386</v>
      </c>
      <c r="H220" s="70">
        <v>0</v>
      </c>
      <c r="I220" s="70">
        <v>0</v>
      </c>
      <c r="J220" s="70">
        <v>0</v>
      </c>
    </row>
    <row r="221" spans="1:10" ht="15.75" thickBot="1">
      <c r="A221" s="4"/>
      <c r="B221" s="4"/>
      <c r="C221" s="4"/>
      <c r="D221" s="4"/>
      <c r="E221" s="4"/>
      <c r="F221" s="4"/>
      <c r="G221" s="4" t="s">
        <v>387</v>
      </c>
      <c r="H221" s="71">
        <v>89.9</v>
      </c>
      <c r="I221" s="71">
        <v>0</v>
      </c>
      <c r="J221" s="71">
        <v>89.9</v>
      </c>
    </row>
    <row r="222" spans="1:10">
      <c r="A222" s="4"/>
      <c r="B222" s="4"/>
      <c r="C222" s="4"/>
      <c r="D222" s="4"/>
      <c r="E222" s="4"/>
      <c r="F222" s="4" t="s">
        <v>388</v>
      </c>
      <c r="G222" s="4"/>
      <c r="H222" s="70">
        <v>89.9</v>
      </c>
      <c r="I222" s="70">
        <v>0</v>
      </c>
      <c r="J222" s="70">
        <v>89.9</v>
      </c>
    </row>
    <row r="223" spans="1:10" ht="15.75" thickBot="1">
      <c r="A223" s="4"/>
      <c r="B223" s="4"/>
      <c r="C223" s="4"/>
      <c r="D223" s="4"/>
      <c r="E223" s="4"/>
      <c r="F223" s="4" t="s">
        <v>435</v>
      </c>
      <c r="G223" s="4"/>
      <c r="H223" s="71">
        <v>1535.67</v>
      </c>
      <c r="I223" s="71">
        <v>0</v>
      </c>
      <c r="J223" s="71">
        <v>1535.67</v>
      </c>
    </row>
    <row r="224" spans="1:10">
      <c r="A224" s="4"/>
      <c r="B224" s="4"/>
      <c r="C224" s="4"/>
      <c r="D224" s="4"/>
      <c r="E224" s="4" t="s">
        <v>245</v>
      </c>
      <c r="F224" s="4"/>
      <c r="G224" s="4"/>
      <c r="H224" s="60">
        <v>10792.14</v>
      </c>
      <c r="I224" s="60">
        <v>6809.21</v>
      </c>
      <c r="J224" s="70">
        <v>3982.93</v>
      </c>
    </row>
    <row r="225" spans="1:10">
      <c r="A225" s="4"/>
      <c r="B225" s="4"/>
      <c r="C225" s="4"/>
      <c r="D225" s="4"/>
      <c r="E225" s="4" t="s">
        <v>246</v>
      </c>
      <c r="F225" s="4"/>
      <c r="G225" s="4"/>
      <c r="H225" s="70"/>
      <c r="I225" s="70"/>
      <c r="J225" s="70"/>
    </row>
    <row r="226" spans="1:10">
      <c r="A226" s="4"/>
      <c r="B226" s="4"/>
      <c r="C226" s="4"/>
      <c r="D226" s="4"/>
      <c r="E226" s="4"/>
      <c r="F226" s="4" t="s">
        <v>247</v>
      </c>
      <c r="G226" s="4"/>
      <c r="H226" s="70">
        <v>660.1</v>
      </c>
      <c r="I226" s="70">
        <v>796.82</v>
      </c>
      <c r="J226" s="70">
        <v>-136.72</v>
      </c>
    </row>
    <row r="227" spans="1:10" ht="15.75" thickBot="1">
      <c r="A227" s="4"/>
      <c r="B227" s="4"/>
      <c r="C227" s="4"/>
      <c r="D227" s="4"/>
      <c r="E227" s="4"/>
      <c r="F227" s="4" t="s">
        <v>248</v>
      </c>
      <c r="G227" s="4"/>
      <c r="H227" s="71">
        <v>1479.09</v>
      </c>
      <c r="I227" s="71">
        <v>1015.69</v>
      </c>
      <c r="J227" s="71">
        <v>463.4</v>
      </c>
    </row>
    <row r="228" spans="1:10">
      <c r="A228" s="4"/>
      <c r="B228" s="4"/>
      <c r="C228" s="4"/>
      <c r="D228" s="4"/>
      <c r="E228" s="4" t="s">
        <v>249</v>
      </c>
      <c r="F228" s="4"/>
      <c r="G228" s="4"/>
      <c r="H228" s="73">
        <v>2139.19</v>
      </c>
      <c r="I228" s="73">
        <v>1812.51</v>
      </c>
      <c r="J228" s="70">
        <v>326.68</v>
      </c>
    </row>
    <row r="229" spans="1:10">
      <c r="A229" s="4"/>
      <c r="B229" s="4"/>
      <c r="C229" s="4"/>
      <c r="D229" s="4"/>
      <c r="E229" s="4" t="s">
        <v>250</v>
      </c>
      <c r="F229" s="4"/>
      <c r="G229" s="4"/>
      <c r="H229" s="70"/>
      <c r="I229" s="70"/>
      <c r="J229" s="70"/>
    </row>
    <row r="230" spans="1:10">
      <c r="A230" s="4"/>
      <c r="B230" s="4"/>
      <c r="C230" s="4"/>
      <c r="D230" s="4"/>
      <c r="E230" s="4"/>
      <c r="F230" s="4" t="s">
        <v>251</v>
      </c>
      <c r="G230" s="4"/>
      <c r="H230" s="70"/>
      <c r="I230" s="70"/>
      <c r="J230" s="70"/>
    </row>
    <row r="231" spans="1:10">
      <c r="A231" s="4"/>
      <c r="B231" s="4"/>
      <c r="C231" s="4"/>
      <c r="D231" s="4"/>
      <c r="E231" s="4"/>
      <c r="F231" s="4"/>
      <c r="G231" s="4" t="s">
        <v>252</v>
      </c>
      <c r="H231" s="70">
        <v>1831.79</v>
      </c>
      <c r="I231" s="70">
        <v>728.5</v>
      </c>
      <c r="J231" s="70">
        <v>1103.29</v>
      </c>
    </row>
    <row r="232" spans="1:10" ht="15.75" thickBot="1">
      <c r="A232" s="4"/>
      <c r="B232" s="4"/>
      <c r="C232" s="4"/>
      <c r="D232" s="4"/>
      <c r="E232" s="4"/>
      <c r="F232" s="4"/>
      <c r="G232" s="4" t="s">
        <v>253</v>
      </c>
      <c r="H232" s="71">
        <v>8756.2800000000007</v>
      </c>
      <c r="I232" s="71">
        <v>5319.51</v>
      </c>
      <c r="J232" s="71">
        <v>3436.77</v>
      </c>
    </row>
    <row r="233" spans="1:10">
      <c r="A233" s="4"/>
      <c r="B233" s="4"/>
      <c r="C233" s="4"/>
      <c r="D233" s="4"/>
      <c r="E233" s="4"/>
      <c r="F233" s="4" t="s">
        <v>254</v>
      </c>
      <c r="G233" s="4"/>
      <c r="H233" s="70">
        <v>10588.07</v>
      </c>
      <c r="I233" s="70">
        <v>6048.01</v>
      </c>
      <c r="J233" s="70">
        <v>4540.0600000000004</v>
      </c>
    </row>
    <row r="234" spans="1:10">
      <c r="A234" s="4"/>
      <c r="B234" s="4"/>
      <c r="C234" s="4"/>
      <c r="D234" s="4"/>
      <c r="E234" s="4"/>
      <c r="F234" s="4" t="s">
        <v>255</v>
      </c>
      <c r="G234" s="4"/>
      <c r="H234" s="70">
        <v>16602.5</v>
      </c>
      <c r="I234" s="70">
        <v>18925</v>
      </c>
      <c r="J234" s="70">
        <v>-2322.5</v>
      </c>
    </row>
    <row r="235" spans="1:10">
      <c r="A235" s="4"/>
      <c r="B235" s="4"/>
      <c r="C235" s="4"/>
      <c r="D235" s="4"/>
      <c r="E235" s="4"/>
      <c r="F235" s="4" t="s">
        <v>256</v>
      </c>
      <c r="G235" s="4"/>
      <c r="H235" s="70">
        <v>3737.47</v>
      </c>
      <c r="I235" s="70">
        <v>4941.46</v>
      </c>
      <c r="J235" s="70">
        <v>-1203.99</v>
      </c>
    </row>
    <row r="236" spans="1:10" ht="15.75" thickBot="1">
      <c r="A236" s="4"/>
      <c r="B236" s="4"/>
      <c r="C236" s="4"/>
      <c r="D236" s="4"/>
      <c r="E236" s="4"/>
      <c r="F236" s="4" t="s">
        <v>257</v>
      </c>
      <c r="G236" s="4"/>
      <c r="H236" s="71">
        <v>1248</v>
      </c>
      <c r="I236" s="71">
        <v>649.21</v>
      </c>
      <c r="J236" s="71">
        <v>598.79</v>
      </c>
    </row>
    <row r="237" spans="1:10">
      <c r="A237" s="4"/>
      <c r="B237" s="4"/>
      <c r="C237" s="4"/>
      <c r="D237" s="4"/>
      <c r="E237" s="4" t="s">
        <v>258</v>
      </c>
      <c r="F237" s="4"/>
      <c r="G237" s="4"/>
      <c r="H237" s="63">
        <v>32176.04</v>
      </c>
      <c r="I237" s="63">
        <v>30563.68</v>
      </c>
      <c r="J237" s="70">
        <v>1612.36</v>
      </c>
    </row>
    <row r="238" spans="1:10">
      <c r="A238" s="4"/>
      <c r="B238" s="4"/>
      <c r="C238" s="4"/>
      <c r="D238" s="4"/>
      <c r="E238" s="4" t="s">
        <v>259</v>
      </c>
      <c r="F238" s="4"/>
      <c r="G238" s="4"/>
      <c r="H238" s="70"/>
      <c r="I238" s="70"/>
      <c r="J238" s="70"/>
    </row>
    <row r="239" spans="1:10">
      <c r="A239" s="4"/>
      <c r="B239" s="4"/>
      <c r="C239" s="4"/>
      <c r="D239" s="4"/>
      <c r="E239" s="4"/>
      <c r="F239" s="4" t="s">
        <v>436</v>
      </c>
      <c r="G239" s="4"/>
      <c r="H239" s="70">
        <v>12390.3</v>
      </c>
      <c r="I239" s="70">
        <v>0</v>
      </c>
      <c r="J239" s="70">
        <v>12390.3</v>
      </c>
    </row>
    <row r="240" spans="1:10">
      <c r="A240" s="4"/>
      <c r="B240" s="4"/>
      <c r="C240" s="4"/>
      <c r="D240" s="4"/>
      <c r="E240" s="4"/>
      <c r="F240" s="4" t="s">
        <v>437</v>
      </c>
      <c r="G240" s="4"/>
      <c r="H240" s="70">
        <v>997.59</v>
      </c>
      <c r="I240" s="70">
        <v>0</v>
      </c>
      <c r="J240" s="70">
        <v>997.59</v>
      </c>
    </row>
    <row r="241" spans="1:13" ht="15.75" thickBot="1">
      <c r="A241" s="4"/>
      <c r="B241" s="4"/>
      <c r="C241" s="4"/>
      <c r="D241" s="4"/>
      <c r="E241" s="4"/>
      <c r="F241" s="4" t="s">
        <v>438</v>
      </c>
      <c r="G241" s="4"/>
      <c r="H241" s="71">
        <v>0</v>
      </c>
      <c r="I241" s="71">
        <v>5617.96</v>
      </c>
      <c r="J241" s="71">
        <v>-5617.96</v>
      </c>
    </row>
    <row r="242" spans="1:13">
      <c r="A242" s="4"/>
      <c r="B242" s="4"/>
      <c r="C242" s="4"/>
      <c r="D242" s="4"/>
      <c r="E242" s="4" t="s">
        <v>439</v>
      </c>
      <c r="F242" s="4"/>
      <c r="G242" s="4"/>
      <c r="H242" s="74">
        <v>13387.89</v>
      </c>
      <c r="I242" s="74">
        <v>5617.96</v>
      </c>
      <c r="J242" s="70">
        <v>7769.93</v>
      </c>
    </row>
    <row r="243" spans="1:13">
      <c r="A243" s="4"/>
      <c r="B243" s="4"/>
      <c r="C243" s="4"/>
      <c r="D243" s="4"/>
      <c r="E243" s="4" t="s">
        <v>440</v>
      </c>
      <c r="F243" s="4"/>
      <c r="G243" s="4"/>
      <c r="H243" s="61">
        <v>-3.88</v>
      </c>
      <c r="I243" s="61">
        <v>0</v>
      </c>
      <c r="J243" s="70">
        <v>-3.88</v>
      </c>
    </row>
    <row r="244" spans="1:13">
      <c r="A244" s="4"/>
      <c r="B244" s="4"/>
      <c r="C244" s="4"/>
      <c r="D244" s="4"/>
      <c r="E244" s="4" t="s">
        <v>260</v>
      </c>
      <c r="F244" s="4"/>
      <c r="G244" s="4"/>
      <c r="H244" s="70">
        <v>0</v>
      </c>
      <c r="I244" s="93">
        <v>81000</v>
      </c>
      <c r="J244" s="70">
        <v>-81000</v>
      </c>
    </row>
    <row r="245" spans="1:13" ht="15.75" thickBot="1">
      <c r="A245" s="4"/>
      <c r="B245" s="4"/>
      <c r="C245" s="4"/>
      <c r="D245" s="4"/>
      <c r="E245" s="4" t="s">
        <v>441</v>
      </c>
      <c r="F245" s="4"/>
      <c r="G245" s="4"/>
      <c r="H245" s="71">
        <v>300</v>
      </c>
      <c r="I245" s="71">
        <v>0</v>
      </c>
      <c r="J245" s="71">
        <v>300</v>
      </c>
    </row>
    <row r="246" spans="1:13">
      <c r="A246" s="4"/>
      <c r="B246" s="4"/>
      <c r="C246" s="4"/>
      <c r="D246" s="4" t="s">
        <v>261</v>
      </c>
      <c r="E246" s="4"/>
      <c r="F246" s="4"/>
      <c r="G246" s="4"/>
      <c r="H246" s="70">
        <v>290706.59000000003</v>
      </c>
      <c r="I246" s="70">
        <v>360910.77</v>
      </c>
      <c r="J246" s="70">
        <v>-70204.179999999993</v>
      </c>
    </row>
    <row r="247" spans="1:13">
      <c r="A247" s="4"/>
      <c r="B247" s="4"/>
      <c r="C247" s="4"/>
      <c r="D247" s="4" t="s">
        <v>262</v>
      </c>
      <c r="E247" s="4"/>
      <c r="F247" s="4"/>
      <c r="G247" s="4"/>
      <c r="H247" s="70">
        <v>6900.56</v>
      </c>
      <c r="I247" s="70">
        <v>3578.68</v>
      </c>
      <c r="J247" s="70">
        <v>3321.88</v>
      </c>
    </row>
    <row r="248" spans="1:13">
      <c r="A248" s="4"/>
      <c r="B248" s="4"/>
      <c r="C248" s="4"/>
      <c r="D248" s="4" t="s">
        <v>442</v>
      </c>
      <c r="E248" s="4"/>
      <c r="F248" s="4"/>
      <c r="G248" s="4"/>
      <c r="H248" s="70">
        <v>2750.12</v>
      </c>
      <c r="I248" s="70">
        <v>0</v>
      </c>
      <c r="J248" s="70">
        <v>2750.12</v>
      </c>
    </row>
    <row r="249" spans="1:13">
      <c r="A249" s="4"/>
      <c r="B249" s="4"/>
      <c r="C249" s="4"/>
      <c r="D249" s="4" t="s">
        <v>263</v>
      </c>
      <c r="E249" s="4"/>
      <c r="F249" s="4"/>
      <c r="G249" s="4"/>
      <c r="H249" s="70">
        <v>53320</v>
      </c>
      <c r="I249" s="70">
        <v>53320</v>
      </c>
      <c r="J249" s="70">
        <v>0</v>
      </c>
    </row>
    <row r="250" spans="1:13">
      <c r="A250" s="4"/>
      <c r="B250" s="4"/>
      <c r="C250" s="4"/>
      <c r="D250" s="4" t="s">
        <v>443</v>
      </c>
      <c r="E250" s="4"/>
      <c r="F250" s="4"/>
      <c r="G250" s="4"/>
      <c r="H250" s="70">
        <v>267</v>
      </c>
      <c r="I250" s="70">
        <v>0</v>
      </c>
      <c r="J250" s="70">
        <v>267</v>
      </c>
    </row>
    <row r="251" spans="1:13">
      <c r="A251" s="4"/>
      <c r="B251" s="4"/>
      <c r="C251" s="4"/>
      <c r="D251" s="4" t="s">
        <v>444</v>
      </c>
      <c r="E251" s="4"/>
      <c r="F251" s="4"/>
      <c r="G251" s="4"/>
      <c r="H251" s="70">
        <v>0.03</v>
      </c>
      <c r="I251" s="70">
        <v>0</v>
      </c>
      <c r="J251" s="70">
        <v>0.03</v>
      </c>
    </row>
    <row r="252" spans="1:13" ht="15.75" thickBot="1">
      <c r="A252" s="4"/>
      <c r="B252" s="4"/>
      <c r="C252" s="4"/>
      <c r="D252" s="4" t="s">
        <v>445</v>
      </c>
      <c r="E252" s="4"/>
      <c r="F252" s="4"/>
      <c r="G252" s="4"/>
      <c r="H252" s="78">
        <v>0</v>
      </c>
      <c r="I252" s="78">
        <v>0</v>
      </c>
      <c r="J252" s="78">
        <v>0</v>
      </c>
    </row>
    <row r="253" spans="1:13" ht="15.75" thickBot="1">
      <c r="A253" s="4"/>
      <c r="B253" s="4"/>
      <c r="C253" s="4" t="s">
        <v>264</v>
      </c>
      <c r="D253" s="4"/>
      <c r="E253" s="4"/>
      <c r="F253" s="4"/>
      <c r="G253" s="4"/>
      <c r="H253" s="82">
        <v>1283605.57</v>
      </c>
      <c r="I253" s="82">
        <v>1166834.3</v>
      </c>
      <c r="J253" s="82">
        <v>116771.27</v>
      </c>
      <c r="K253" s="94">
        <v>1242637</v>
      </c>
      <c r="L253" s="94">
        <v>1120815</v>
      </c>
      <c r="M253" t="s">
        <v>468</v>
      </c>
    </row>
    <row r="254" spans="1:13" ht="15.75" thickBot="1">
      <c r="A254" s="4" t="s">
        <v>265</v>
      </c>
      <c r="B254" s="4"/>
      <c r="C254" s="4"/>
      <c r="D254" s="4"/>
      <c r="E254" s="4"/>
      <c r="F254" s="4"/>
      <c r="G254" s="4"/>
      <c r="H254" s="83">
        <v>96038.16</v>
      </c>
      <c r="I254" s="83">
        <v>200006.17</v>
      </c>
      <c r="J254" s="83">
        <v>-103968.01</v>
      </c>
      <c r="K254" s="84">
        <f>H253-K253</f>
        <v>40968.570000000065</v>
      </c>
      <c r="L254" s="84">
        <f>I253-L253</f>
        <v>46019.300000000047</v>
      </c>
      <c r="M254" t="s">
        <v>467</v>
      </c>
    </row>
    <row r="255" spans="1:13" ht="15.75" thickTop="1">
      <c r="K255" s="87">
        <f>H247+H248+H249+H250+H251+H67+H73</f>
        <v>46651.37</v>
      </c>
      <c r="L255" s="85">
        <f>I247+I248+I249+I250+I251+I67+I73</f>
        <v>42618.81</v>
      </c>
      <c r="M255" t="s">
        <v>466</v>
      </c>
    </row>
    <row r="256" spans="1:13">
      <c r="K256" s="87">
        <f>K254-K255</f>
        <v>-5682.7999999999374</v>
      </c>
      <c r="L256" s="85">
        <f>L254-L255</f>
        <v>3400.4900000000489</v>
      </c>
    </row>
    <row r="258" spans="8:16">
      <c r="H258" s="87">
        <f>-H67-H73+H82+H87+H88+H102+H103+H118+H119+H120+H126+H135+H145+H152+H158+H163+H167+H172+H178+H183+H184+H185+H191+H204+H205+H212+H213+H214+H224+H228+H237+H242+H243+H245</f>
        <v>1236954.1999999995</v>
      </c>
      <c r="I258" s="87"/>
      <c r="K258" s="87">
        <f>H246+H186-H67-H73</f>
        <v>1236954.2</v>
      </c>
      <c r="L258" s="85">
        <f>-I67-I73+I186+I246</f>
        <v>1124215.49</v>
      </c>
      <c r="M258" t="s">
        <v>469</v>
      </c>
      <c r="P258" s="87"/>
    </row>
    <row r="259" spans="8:16">
      <c r="K259" s="87">
        <f>K253-K258</f>
        <v>5682.8000000000466</v>
      </c>
      <c r="L259" s="85">
        <f>L253-L258</f>
        <v>-3400.4899999999907</v>
      </c>
      <c r="M259" t="s">
        <v>22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"/>
  <dimension ref="A1:G40"/>
  <sheetViews>
    <sheetView workbookViewId="0">
      <pane xSplit="6" ySplit="1" topLeftCell="G17" activePane="bottomRight" state="frozenSplit"/>
      <selection pane="topRight" activeCell="G1" sqref="G1"/>
      <selection pane="bottomLeft" activeCell="A2" sqref="A2"/>
      <selection pane="bottomRight" activeCell="G35" sqref="G35:G37"/>
    </sheetView>
  </sheetViews>
  <sheetFormatPr defaultRowHeight="15"/>
  <cols>
    <col min="1" max="5" width="3" style="9" customWidth="1"/>
    <col min="6" max="6" width="35" style="9" customWidth="1"/>
    <col min="7" max="7" width="9.28515625" bestFit="1" customWidth="1"/>
  </cols>
  <sheetData>
    <row r="1" spans="1:7" s="3" customFormat="1" ht="15.75" thickBot="1">
      <c r="A1" s="1"/>
      <c r="B1" s="1"/>
      <c r="C1" s="1"/>
      <c r="D1" s="1"/>
      <c r="E1" s="1"/>
      <c r="F1" s="1"/>
      <c r="G1" s="2" t="s">
        <v>310</v>
      </c>
    </row>
    <row r="2" spans="1:7" ht="15.75" thickTop="1">
      <c r="A2" s="4" t="s">
        <v>46</v>
      </c>
      <c r="B2" s="4"/>
      <c r="C2" s="4"/>
      <c r="D2" s="4"/>
      <c r="E2" s="4"/>
      <c r="F2" s="4"/>
      <c r="G2" s="5"/>
    </row>
    <row r="3" spans="1:7">
      <c r="A3" s="4"/>
      <c r="B3" s="4" t="s">
        <v>311</v>
      </c>
      <c r="C3" s="4"/>
      <c r="D3" s="4"/>
      <c r="E3" s="4"/>
      <c r="F3" s="4"/>
      <c r="G3" s="5"/>
    </row>
    <row r="4" spans="1:7">
      <c r="A4" s="4"/>
      <c r="B4" s="4"/>
      <c r="C4" s="4" t="s">
        <v>312</v>
      </c>
      <c r="D4" s="4"/>
      <c r="E4" s="4"/>
      <c r="F4" s="4"/>
      <c r="G4" s="5"/>
    </row>
    <row r="5" spans="1:7">
      <c r="A5" s="4"/>
      <c r="B5" s="4"/>
      <c r="C5" s="4"/>
      <c r="D5" s="4" t="s">
        <v>313</v>
      </c>
      <c r="E5" s="4"/>
      <c r="F5" s="4"/>
      <c r="G5" s="5"/>
    </row>
    <row r="6" spans="1:7">
      <c r="A6" s="4"/>
      <c r="B6" s="4"/>
      <c r="C6" s="4"/>
      <c r="D6" s="4"/>
      <c r="E6" s="4" t="s">
        <v>314</v>
      </c>
      <c r="F6" s="4"/>
      <c r="G6" s="5"/>
    </row>
    <row r="7" spans="1:7">
      <c r="A7" s="4"/>
      <c r="B7" s="4"/>
      <c r="C7" s="4"/>
      <c r="D7" s="4"/>
      <c r="E7" s="4"/>
      <c r="F7" s="4" t="s">
        <v>315</v>
      </c>
      <c r="G7" s="5">
        <v>12268.51</v>
      </c>
    </row>
    <row r="8" spans="1:7">
      <c r="A8" s="4"/>
      <c r="B8" s="4"/>
      <c r="C8" s="4"/>
      <c r="D8" s="4"/>
      <c r="E8" s="4"/>
      <c r="F8" s="4" t="s">
        <v>316</v>
      </c>
      <c r="G8" s="5">
        <v>474473.82</v>
      </c>
    </row>
    <row r="9" spans="1:7">
      <c r="A9" s="4"/>
      <c r="B9" s="4"/>
      <c r="C9" s="4"/>
      <c r="D9" s="4"/>
      <c r="E9" s="4"/>
      <c r="F9" s="4" t="s">
        <v>317</v>
      </c>
      <c r="G9" s="5">
        <v>5923.74</v>
      </c>
    </row>
    <row r="10" spans="1:7" ht="15.75" thickBot="1">
      <c r="A10" s="4"/>
      <c r="B10" s="4"/>
      <c r="C10" s="4"/>
      <c r="D10" s="4"/>
      <c r="E10" s="4"/>
      <c r="F10" s="4" t="s">
        <v>318</v>
      </c>
      <c r="G10" s="5">
        <v>4968.6000000000004</v>
      </c>
    </row>
    <row r="11" spans="1:7" ht="15.75" thickBot="1">
      <c r="A11" s="4"/>
      <c r="B11" s="4"/>
      <c r="C11" s="4"/>
      <c r="D11" s="4"/>
      <c r="E11" s="4" t="s">
        <v>319</v>
      </c>
      <c r="F11" s="4"/>
      <c r="G11" s="6">
        <f>ROUND(SUM(G6:G10),5)</f>
        <v>497634.67</v>
      </c>
    </row>
    <row r="12" spans="1:7">
      <c r="A12" s="4"/>
      <c r="B12" s="4"/>
      <c r="C12" s="4"/>
      <c r="D12" s="4" t="s">
        <v>320</v>
      </c>
      <c r="E12" s="4"/>
      <c r="F12" s="4"/>
      <c r="G12" s="5">
        <f>ROUND(G5+G11,5)</f>
        <v>497634.67</v>
      </c>
    </row>
    <row r="13" spans="1:7">
      <c r="A13" s="4"/>
      <c r="B13" s="4"/>
      <c r="C13" s="4"/>
      <c r="D13" s="4" t="s">
        <v>321</v>
      </c>
      <c r="E13" s="4"/>
      <c r="F13" s="4"/>
      <c r="G13" s="5"/>
    </row>
    <row r="14" spans="1:7" ht="15.75" thickBot="1">
      <c r="A14" s="4"/>
      <c r="B14" s="4"/>
      <c r="C14" s="4"/>
      <c r="D14" s="4"/>
      <c r="E14" s="4" t="s">
        <v>322</v>
      </c>
      <c r="F14" s="4"/>
      <c r="G14" s="5">
        <v>1762.37</v>
      </c>
    </row>
    <row r="15" spans="1:7" ht="15.75" thickBot="1">
      <c r="A15" s="4"/>
      <c r="B15" s="4"/>
      <c r="C15" s="4"/>
      <c r="D15" s="4" t="s">
        <v>323</v>
      </c>
      <c r="E15" s="4"/>
      <c r="F15" s="4"/>
      <c r="G15" s="6">
        <f>ROUND(SUM(G13:G14),5)</f>
        <v>1762.37</v>
      </c>
    </row>
    <row r="16" spans="1:7">
      <c r="A16" s="4"/>
      <c r="B16" s="4"/>
      <c r="C16" s="4" t="s">
        <v>324</v>
      </c>
      <c r="D16" s="4"/>
      <c r="E16" s="4"/>
      <c r="F16" s="4"/>
      <c r="G16" s="5">
        <f>ROUND(G4+G12+G15,5)</f>
        <v>499397.04</v>
      </c>
    </row>
    <row r="17" spans="1:7">
      <c r="A17" s="4"/>
      <c r="B17" s="4"/>
      <c r="C17" s="4" t="s">
        <v>325</v>
      </c>
      <c r="D17" s="4"/>
      <c r="E17" s="4"/>
      <c r="F17" s="4"/>
      <c r="G17" s="5"/>
    </row>
    <row r="18" spans="1:7" ht="15.75" thickBot="1">
      <c r="A18" s="4"/>
      <c r="B18" s="4"/>
      <c r="C18" s="4"/>
      <c r="D18" s="4" t="s">
        <v>326</v>
      </c>
      <c r="E18" s="4"/>
      <c r="F18" s="4"/>
      <c r="G18" s="5">
        <v>1856.6</v>
      </c>
    </row>
    <row r="19" spans="1:7" ht="15.75" thickBot="1">
      <c r="A19" s="4"/>
      <c r="B19" s="4"/>
      <c r="C19" s="4" t="s">
        <v>327</v>
      </c>
      <c r="D19" s="4"/>
      <c r="E19" s="4"/>
      <c r="F19" s="4"/>
      <c r="G19" s="7">
        <f>ROUND(SUM(G17:G18),5)</f>
        <v>1856.6</v>
      </c>
    </row>
    <row r="20" spans="1:7" ht="15.75" thickBot="1">
      <c r="A20" s="4"/>
      <c r="B20" s="4" t="s">
        <v>328</v>
      </c>
      <c r="C20" s="4"/>
      <c r="D20" s="4"/>
      <c r="E20" s="4"/>
      <c r="F20" s="4"/>
      <c r="G20" s="7">
        <f>ROUND(G3+G16+G19,5)</f>
        <v>501253.64</v>
      </c>
    </row>
    <row r="21" spans="1:7" s="9" customFormat="1" ht="12" thickBot="1">
      <c r="A21" s="4" t="s">
        <v>52</v>
      </c>
      <c r="B21" s="4"/>
      <c r="C21" s="4"/>
      <c r="D21" s="4"/>
      <c r="E21" s="4"/>
      <c r="F21" s="4"/>
      <c r="G21" s="8">
        <f>ROUND(G2+G20,5)</f>
        <v>501253.64</v>
      </c>
    </row>
    <row r="22" spans="1:7" ht="15.75" thickTop="1">
      <c r="A22" s="4" t="s">
        <v>53</v>
      </c>
      <c r="B22" s="4"/>
      <c r="C22" s="4"/>
      <c r="D22" s="4"/>
      <c r="E22" s="4"/>
      <c r="F22" s="4"/>
      <c r="G22" s="5"/>
    </row>
    <row r="23" spans="1:7">
      <c r="A23" s="4"/>
      <c r="B23" s="4" t="s">
        <v>329</v>
      </c>
      <c r="C23" s="4"/>
      <c r="D23" s="4"/>
      <c r="E23" s="4"/>
      <c r="F23" s="4"/>
      <c r="G23" s="5"/>
    </row>
    <row r="24" spans="1:7">
      <c r="A24" s="4"/>
      <c r="B24" s="4"/>
      <c r="C24" s="4" t="s">
        <v>330</v>
      </c>
      <c r="D24" s="4"/>
      <c r="E24" s="4"/>
      <c r="F24" s="4"/>
      <c r="G24" s="5"/>
    </row>
    <row r="25" spans="1:7">
      <c r="A25" s="4"/>
      <c r="B25" s="4"/>
      <c r="C25" s="4"/>
      <c r="D25" s="4" t="s">
        <v>331</v>
      </c>
      <c r="E25" s="4"/>
      <c r="F25" s="4"/>
      <c r="G25" s="5"/>
    </row>
    <row r="26" spans="1:7">
      <c r="A26" s="4"/>
      <c r="B26" s="4"/>
      <c r="C26" s="4"/>
      <c r="D26" s="4"/>
      <c r="E26" s="4" t="s">
        <v>332</v>
      </c>
      <c r="F26" s="4"/>
      <c r="G26" s="5"/>
    </row>
    <row r="27" spans="1:7">
      <c r="A27" s="4"/>
      <c r="B27" s="4"/>
      <c r="C27" s="4"/>
      <c r="D27" s="4"/>
      <c r="E27" s="4"/>
      <c r="F27" s="4" t="s">
        <v>333</v>
      </c>
      <c r="G27" s="5">
        <v>275</v>
      </c>
    </row>
    <row r="28" spans="1:7">
      <c r="A28" s="4"/>
      <c r="B28" s="4"/>
      <c r="C28" s="4"/>
      <c r="D28" s="4"/>
      <c r="E28" s="4"/>
      <c r="F28" s="4" t="s">
        <v>334</v>
      </c>
      <c r="G28" s="5">
        <v>60</v>
      </c>
    </row>
    <row r="29" spans="1:7" ht="15.75" thickBot="1">
      <c r="A29" s="4"/>
      <c r="B29" s="4"/>
      <c r="C29" s="4"/>
      <c r="D29" s="4"/>
      <c r="E29" s="4"/>
      <c r="F29" s="4" t="s">
        <v>335</v>
      </c>
      <c r="G29" s="5">
        <v>-50</v>
      </c>
    </row>
    <row r="30" spans="1:7" ht="15.75" thickBot="1">
      <c r="A30" s="4"/>
      <c r="B30" s="4"/>
      <c r="C30" s="4"/>
      <c r="D30" s="4"/>
      <c r="E30" s="4" t="s">
        <v>336</v>
      </c>
      <c r="F30" s="4"/>
      <c r="G30" s="7">
        <f>ROUND(SUM(G26:G29),5)</f>
        <v>285</v>
      </c>
    </row>
    <row r="31" spans="1:7" ht="15.75" thickBot="1">
      <c r="A31" s="4"/>
      <c r="B31" s="4"/>
      <c r="C31" s="4"/>
      <c r="D31" s="4" t="s">
        <v>337</v>
      </c>
      <c r="E31" s="4"/>
      <c r="F31" s="4"/>
      <c r="G31" s="7">
        <f>ROUND(G25+G30,5)</f>
        <v>285</v>
      </c>
    </row>
    <row r="32" spans="1:7" ht="15.75" thickBot="1">
      <c r="A32" s="4"/>
      <c r="B32" s="4"/>
      <c r="C32" s="4" t="s">
        <v>338</v>
      </c>
      <c r="D32" s="4"/>
      <c r="E32" s="4"/>
      <c r="F32" s="4"/>
      <c r="G32" s="6">
        <f>ROUND(G24+G31,5)</f>
        <v>285</v>
      </c>
    </row>
    <row r="33" spans="1:7">
      <c r="A33" s="4"/>
      <c r="B33" s="4" t="s">
        <v>339</v>
      </c>
      <c r="C33" s="4"/>
      <c r="D33" s="4"/>
      <c r="E33" s="4"/>
      <c r="F33" s="4"/>
      <c r="G33" s="5">
        <f>ROUND(G23+G32,5)</f>
        <v>285</v>
      </c>
    </row>
    <row r="34" spans="1:7">
      <c r="A34" s="4"/>
      <c r="B34" s="4" t="s">
        <v>340</v>
      </c>
      <c r="C34" s="4"/>
      <c r="D34" s="4"/>
      <c r="E34" s="4"/>
      <c r="F34" s="4"/>
      <c r="G34" s="5"/>
    </row>
    <row r="35" spans="1:7">
      <c r="A35" s="4"/>
      <c r="B35" s="4"/>
      <c r="C35" s="4" t="s">
        <v>341</v>
      </c>
      <c r="D35" s="4"/>
      <c r="E35" s="4"/>
      <c r="F35" s="4"/>
      <c r="G35" s="5">
        <v>11224.36</v>
      </c>
    </row>
    <row r="36" spans="1:7">
      <c r="A36" s="4"/>
      <c r="B36" s="4"/>
      <c r="C36" s="4" t="s">
        <v>342</v>
      </c>
      <c r="D36" s="4"/>
      <c r="E36" s="4"/>
      <c r="F36" s="4"/>
      <c r="G36" s="5">
        <v>289738.11</v>
      </c>
    </row>
    <row r="37" spans="1:7" ht="15.75" thickBot="1">
      <c r="A37" s="4"/>
      <c r="B37" s="4"/>
      <c r="C37" s="4" t="s">
        <v>265</v>
      </c>
      <c r="D37" s="4"/>
      <c r="E37" s="4"/>
      <c r="F37" s="4"/>
      <c r="G37" s="5">
        <v>200006.17</v>
      </c>
    </row>
    <row r="38" spans="1:7" ht="15.75" thickBot="1">
      <c r="A38" s="4"/>
      <c r="B38" s="4" t="s">
        <v>343</v>
      </c>
      <c r="C38" s="4"/>
      <c r="D38" s="4"/>
      <c r="E38" s="4"/>
      <c r="F38" s="4"/>
      <c r="G38" s="7">
        <f>ROUND(SUM(G34:G37),5)</f>
        <v>500968.64</v>
      </c>
    </row>
    <row r="39" spans="1:7" s="9" customFormat="1" ht="12" thickBot="1">
      <c r="A39" s="4" t="s">
        <v>58</v>
      </c>
      <c r="B39" s="4"/>
      <c r="C39" s="4"/>
      <c r="D39" s="4"/>
      <c r="E39" s="4"/>
      <c r="F39" s="4"/>
      <c r="G39" s="8">
        <f>ROUND(G22+G33+G38,5)</f>
        <v>501253.64</v>
      </c>
    </row>
    <row r="40" spans="1:7" ht="15.75" thickTop="1"/>
  </sheetData>
  <pageMargins left="0.7" right="0.7" top="0.75" bottom="0.75" header="0.1" footer="0.3"/>
  <pageSetup orientation="portrait" horizontalDpi="0" verticalDpi="0" r:id="rId1"/>
  <headerFooter>
    <oddHeader>&amp;L&amp;"Arial,Bold"&amp;8 2:03 PM
&amp;"Arial,Bold"&amp;8 05/30/18
&amp;"Arial,Bold"&amp;8 Cash Basis&amp;C&amp;"Arial,Bold"&amp;12 St. Catherine
&amp;"Arial,Bold"&amp;14 Balance Sheet
&amp;"Arial,Bold"&amp;10 As of June 30, 2017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5121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114300</xdr:colOff>
                <xdr:row>1</xdr:row>
                <xdr:rowOff>28575</xdr:rowOff>
              </to>
            </anchor>
          </controlPr>
        </control>
      </mc:Choice>
      <mc:Fallback>
        <control shapeId="5121" r:id="rId4" name="FILTER"/>
      </mc:Fallback>
    </mc:AlternateContent>
    <mc:AlternateContent xmlns:mc="http://schemas.openxmlformats.org/markup-compatibility/2006">
      <mc:Choice Requires="x14">
        <control shapeId="5122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114300</xdr:colOff>
                <xdr:row>1</xdr:row>
                <xdr:rowOff>28575</xdr:rowOff>
              </to>
            </anchor>
          </controlPr>
        </control>
      </mc:Choice>
      <mc:Fallback>
        <control shapeId="5122" r:id="rId6" name="HEADER"/>
      </mc:Fallback>
    </mc:AlternateContent>
  </control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5">
    <pageSetUpPr fitToPage="1"/>
  </sheetPr>
  <dimension ref="A1:AJ51"/>
  <sheetViews>
    <sheetView topLeftCell="A13" workbookViewId="0">
      <selection activeCell="B55" sqref="B55"/>
    </sheetView>
  </sheetViews>
  <sheetFormatPr defaultColWidth="9.140625" defaultRowHeight="12.75"/>
  <cols>
    <col min="1" max="1" width="8.28515625" style="12" customWidth="1"/>
    <col min="2" max="2" width="46.28515625" style="12" customWidth="1"/>
    <col min="3" max="3" width="8.140625" style="16" customWidth="1"/>
    <col min="4" max="4" width="10.7109375" style="12" customWidth="1"/>
    <col min="5" max="5" width="3.7109375" style="12" customWidth="1"/>
    <col min="6" max="6" width="10.7109375" style="12" customWidth="1"/>
    <col min="7" max="7" width="3.7109375" style="12" customWidth="1"/>
    <col min="8" max="8" width="10.7109375" style="12" customWidth="1"/>
    <col min="9" max="16384" width="9.140625" style="12"/>
  </cols>
  <sheetData>
    <row r="1" spans="1:36" s="13" customFormat="1" ht="18.75">
      <c r="A1" s="10" t="s">
        <v>267</v>
      </c>
      <c r="B1" s="11"/>
      <c r="C1" s="11"/>
      <c r="D1" s="11"/>
      <c r="E1" s="11"/>
      <c r="F1" s="11"/>
      <c r="G1" s="11"/>
      <c r="H1" s="11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</row>
    <row r="2" spans="1:36" s="13" customFormat="1" ht="18.75">
      <c r="A2" s="10" t="str">
        <f>'[1]BUDGET PG 1'!A3:M3</f>
        <v>for PARISH NAME</v>
      </c>
      <c r="B2" s="11"/>
      <c r="C2" s="11"/>
      <c r="D2" s="11"/>
      <c r="E2" s="11"/>
      <c r="F2" s="11"/>
      <c r="G2" s="11"/>
      <c r="H2" s="11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</row>
    <row r="3" spans="1:36" s="13" customFormat="1" ht="15.75">
      <c r="A3" s="14" t="str">
        <f>'[1]BUDGET PG 1'!A4:M4</f>
        <v>FOR THE FISCAL YEAR ENDING JUNE 30, 2016</v>
      </c>
      <c r="B3" s="11"/>
      <c r="C3" s="11"/>
      <c r="D3" s="11"/>
      <c r="E3" s="11"/>
      <c r="F3" s="11"/>
      <c r="G3" s="11"/>
      <c r="H3" s="11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</row>
    <row r="4" spans="1:36" s="13" customFormat="1" ht="15.75">
      <c r="A4" s="15" t="s">
        <v>268</v>
      </c>
      <c r="B4" s="11"/>
      <c r="C4" s="11"/>
      <c r="D4" s="11"/>
      <c r="E4" s="11"/>
      <c r="F4" s="11"/>
      <c r="G4" s="11"/>
      <c r="H4" s="11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36" ht="15">
      <c r="D5" s="17" t="s">
        <v>269</v>
      </c>
      <c r="E5" s="18"/>
      <c r="F5" s="18"/>
      <c r="G5" s="19"/>
      <c r="H5" s="20" t="s">
        <v>270</v>
      </c>
    </row>
    <row r="6" spans="1:36">
      <c r="A6" s="21" t="s">
        <v>271</v>
      </c>
    </row>
    <row r="7" spans="1:36">
      <c r="A7" s="22" t="s">
        <v>272</v>
      </c>
      <c r="D7" s="22" t="s">
        <v>273</v>
      </c>
      <c r="E7" s="22"/>
      <c r="F7" s="22" t="s">
        <v>274</v>
      </c>
      <c r="H7" s="22" t="s">
        <v>273</v>
      </c>
    </row>
    <row r="9" spans="1:36">
      <c r="A9" s="21">
        <v>2999</v>
      </c>
      <c r="B9" s="13" t="s">
        <v>275</v>
      </c>
      <c r="C9" s="21"/>
      <c r="D9" s="23">
        <f>'[1]BUDGET PG 2'!$C$55</f>
        <v>223899</v>
      </c>
      <c r="E9" s="24"/>
      <c r="F9" s="23">
        <f>'[1]BUDGET PG 2'!$E$55</f>
        <v>292771.92000000004</v>
      </c>
      <c r="G9" s="24"/>
      <c r="H9" s="23">
        <f>'[1]BUDGET PG 2'!$G$55</f>
        <v>253420.75450000004</v>
      </c>
    </row>
    <row r="10" spans="1:36">
      <c r="A10" s="21">
        <v>4999</v>
      </c>
      <c r="B10" s="13" t="s">
        <v>276</v>
      </c>
      <c r="C10" s="21"/>
      <c r="D10" s="23">
        <f>'[1]BUDGET PG 3'!$C$57</f>
        <v>-134162</v>
      </c>
      <c r="E10" s="24"/>
      <c r="F10" s="23">
        <f>'[1]BUDGET PG 3'!$E$57</f>
        <v>-108906.60999999999</v>
      </c>
      <c r="G10" s="24"/>
      <c r="H10" s="23">
        <f>'[1]BUDGET PG 3'!$G$57</f>
        <v>-116017.63949999999</v>
      </c>
    </row>
    <row r="11" spans="1:36" ht="13.5" thickBot="1">
      <c r="B11" s="13" t="s">
        <v>277</v>
      </c>
      <c r="C11" s="21"/>
      <c r="D11" s="25">
        <f>D9+D10</f>
        <v>89737</v>
      </c>
      <c r="E11" s="24"/>
      <c r="F11" s="25">
        <f>F9+F10</f>
        <v>183865.31000000006</v>
      </c>
      <c r="G11" s="24"/>
      <c r="H11" s="25">
        <f>H9+H10</f>
        <v>137403.11500000005</v>
      </c>
      <c r="I11" s="26"/>
    </row>
    <row r="12" spans="1:36" ht="13.5" thickTop="1"/>
    <row r="14" spans="1:36">
      <c r="A14" s="21" t="s">
        <v>278</v>
      </c>
      <c r="B14" s="12" t="s">
        <v>279</v>
      </c>
    </row>
    <row r="15" spans="1:36">
      <c r="B15" s="12" t="s">
        <v>280</v>
      </c>
    </row>
    <row r="17" spans="1:8" ht="14.25">
      <c r="D17" s="17" t="s">
        <v>269</v>
      </c>
      <c r="E17" s="27"/>
      <c r="F17" s="27"/>
      <c r="H17" s="20" t="s">
        <v>270</v>
      </c>
    </row>
    <row r="19" spans="1:8">
      <c r="D19" s="22" t="s">
        <v>273</v>
      </c>
      <c r="E19" s="22"/>
      <c r="F19" s="22" t="s">
        <v>281</v>
      </c>
      <c r="H19" s="22" t="s">
        <v>273</v>
      </c>
    </row>
    <row r="20" spans="1:8">
      <c r="C20" s="21" t="s">
        <v>271</v>
      </c>
      <c r="D20" s="12" t="s">
        <v>282</v>
      </c>
    </row>
    <row r="21" spans="1:8">
      <c r="C21" s="22" t="s">
        <v>272</v>
      </c>
      <c r="D21" s="22" t="s">
        <v>283</v>
      </c>
      <c r="E21" s="22"/>
      <c r="F21" s="22" t="s">
        <v>283</v>
      </c>
      <c r="H21" s="22" t="s">
        <v>283</v>
      </c>
    </row>
    <row r="23" spans="1:8">
      <c r="A23" s="13" t="s">
        <v>284</v>
      </c>
      <c r="C23" s="21">
        <v>7798</v>
      </c>
      <c r="D23" s="28">
        <v>141914</v>
      </c>
      <c r="E23" s="29"/>
      <c r="F23" s="28">
        <v>139354</v>
      </c>
      <c r="G23" s="29"/>
      <c r="H23" s="23">
        <f>IF(F50&gt;=0,F50,0)</f>
        <v>224990.14000000004</v>
      </c>
    </row>
    <row r="24" spans="1:8">
      <c r="D24" s="29"/>
      <c r="E24" s="29"/>
      <c r="F24" s="29"/>
      <c r="G24" s="29"/>
      <c r="H24" s="29"/>
    </row>
    <row r="25" spans="1:8">
      <c r="A25" s="13" t="s">
        <v>26</v>
      </c>
      <c r="D25" s="29"/>
      <c r="E25" s="29"/>
      <c r="F25" s="29"/>
      <c r="G25" s="29"/>
      <c r="H25" s="29"/>
    </row>
    <row r="26" spans="1:8">
      <c r="A26" s="12" t="s">
        <v>285</v>
      </c>
      <c r="C26" s="16">
        <v>7701</v>
      </c>
      <c r="D26" s="23">
        <f>IF(D11&gt;=0,D11,0)</f>
        <v>89737</v>
      </c>
      <c r="E26" s="24"/>
      <c r="F26" s="23">
        <f>IF(F11&gt;=0,F11,0)</f>
        <v>183865.31000000006</v>
      </c>
      <c r="G26" s="24"/>
      <c r="H26" s="23">
        <f>IF(H11&gt;=0,H11,0)</f>
        <v>137403.11500000005</v>
      </c>
    </row>
    <row r="27" spans="1:8">
      <c r="A27" s="30" t="s">
        <v>286</v>
      </c>
      <c r="B27" s="30"/>
      <c r="C27" s="16">
        <v>7703</v>
      </c>
      <c r="D27" s="28">
        <v>0</v>
      </c>
      <c r="E27" s="29"/>
      <c r="F27" s="28">
        <v>5000</v>
      </c>
      <c r="G27" s="29"/>
      <c r="H27" s="28">
        <v>0</v>
      </c>
    </row>
    <row r="28" spans="1:8">
      <c r="A28" s="12" t="s">
        <v>287</v>
      </c>
      <c r="C28" s="16">
        <v>7705</v>
      </c>
      <c r="D28" s="28">
        <v>0</v>
      </c>
      <c r="E28" s="29"/>
      <c r="F28" s="28">
        <v>0</v>
      </c>
      <c r="G28" s="29"/>
      <c r="H28" s="31" t="s">
        <v>288</v>
      </c>
    </row>
    <row r="29" spans="1:8">
      <c r="A29" s="12" t="s">
        <v>289</v>
      </c>
      <c r="C29" s="16" t="s">
        <v>290</v>
      </c>
      <c r="D29" s="28">
        <v>0</v>
      </c>
      <c r="E29" s="29"/>
      <c r="F29" s="28">
        <v>0</v>
      </c>
      <c r="G29" s="29"/>
      <c r="H29" s="28">
        <v>0</v>
      </c>
    </row>
    <row r="30" spans="1:8">
      <c r="A30" s="12" t="s">
        <v>291</v>
      </c>
      <c r="C30" s="16">
        <v>7789</v>
      </c>
      <c r="D30" s="28">
        <v>39100</v>
      </c>
      <c r="E30" s="29"/>
      <c r="F30" s="28">
        <v>38364</v>
      </c>
      <c r="G30" s="29"/>
      <c r="H30" s="28">
        <v>38500</v>
      </c>
    </row>
    <row r="31" spans="1:8">
      <c r="A31" s="12" t="s">
        <v>292</v>
      </c>
      <c r="C31" s="16">
        <v>7790</v>
      </c>
      <c r="D31" s="28">
        <v>0</v>
      </c>
      <c r="E31" s="29"/>
      <c r="F31" s="28">
        <v>0</v>
      </c>
      <c r="G31" s="29"/>
      <c r="H31" s="28">
        <v>0</v>
      </c>
    </row>
    <row r="32" spans="1:8">
      <c r="A32" s="12" t="s">
        <v>293</v>
      </c>
      <c r="C32" s="16">
        <v>7791</v>
      </c>
      <c r="D32" s="28">
        <v>0</v>
      </c>
      <c r="E32" s="29"/>
      <c r="F32" s="28">
        <v>7005</v>
      </c>
      <c r="G32" s="29"/>
      <c r="H32" s="28">
        <v>0</v>
      </c>
    </row>
    <row r="33" spans="1:8">
      <c r="A33" s="12" t="s">
        <v>294</v>
      </c>
      <c r="C33" s="16">
        <v>7792</v>
      </c>
      <c r="D33" s="28">
        <v>0</v>
      </c>
      <c r="E33" s="29"/>
      <c r="F33" s="28">
        <v>0</v>
      </c>
      <c r="G33" s="29"/>
      <c r="H33" s="28">
        <v>0</v>
      </c>
    </row>
    <row r="34" spans="1:8">
      <c r="A34" s="12" t="s">
        <v>295</v>
      </c>
      <c r="C34" s="16">
        <v>7794</v>
      </c>
      <c r="D34" s="28">
        <v>0</v>
      </c>
      <c r="E34" s="29"/>
      <c r="F34" s="28">
        <v>4232</v>
      </c>
      <c r="G34" s="29"/>
      <c r="H34" s="28">
        <v>0</v>
      </c>
    </row>
    <row r="35" spans="1:8">
      <c r="B35" s="32" t="s">
        <v>28</v>
      </c>
      <c r="C35" s="21">
        <v>7797</v>
      </c>
      <c r="D35" s="23">
        <f>SUM(D26:D34)</f>
        <v>128837</v>
      </c>
      <c r="E35" s="24"/>
      <c r="F35" s="23">
        <f>SUM(F26:F34)</f>
        <v>238466.31000000006</v>
      </c>
      <c r="G35" s="24" t="s">
        <v>296</v>
      </c>
      <c r="H35" s="23">
        <f>SUM(H26:H34)</f>
        <v>175903.11500000005</v>
      </c>
    </row>
    <row r="36" spans="1:8">
      <c r="B36" s="32" t="s">
        <v>29</v>
      </c>
      <c r="C36" s="21">
        <v>7799</v>
      </c>
      <c r="D36" s="23">
        <f>D23+D35</f>
        <v>270751</v>
      </c>
      <c r="E36" s="24"/>
      <c r="F36" s="23">
        <f>F23+F35</f>
        <v>377820.31000000006</v>
      </c>
      <c r="G36" s="24" t="s">
        <v>296</v>
      </c>
      <c r="H36" s="23">
        <f>H23+H35</f>
        <v>400893.25500000012</v>
      </c>
    </row>
    <row r="37" spans="1:8">
      <c r="D37" s="29"/>
      <c r="E37" s="29"/>
      <c r="F37" s="29"/>
      <c r="G37" s="29"/>
      <c r="H37" s="29"/>
    </row>
    <row r="38" spans="1:8">
      <c r="A38" s="13" t="s">
        <v>30</v>
      </c>
      <c r="D38" s="29"/>
      <c r="E38" s="29"/>
      <c r="F38" s="29"/>
      <c r="G38" s="29"/>
      <c r="H38" s="29"/>
    </row>
    <row r="39" spans="1:8">
      <c r="A39" s="12" t="s">
        <v>297</v>
      </c>
      <c r="C39" s="16">
        <v>7805</v>
      </c>
      <c r="D39" s="23">
        <f>IF(D11&lt;0,D11*-1,0)</f>
        <v>0</v>
      </c>
      <c r="E39" s="24"/>
      <c r="F39" s="23">
        <f>IF(F11&lt;0,F11*-1,0)</f>
        <v>0</v>
      </c>
      <c r="G39" s="24"/>
      <c r="H39" s="23">
        <f>IF(H11&lt;0,H11*-1,0)</f>
        <v>0</v>
      </c>
    </row>
    <row r="40" spans="1:8">
      <c r="A40" s="12" t="s">
        <v>298</v>
      </c>
      <c r="C40" s="16">
        <v>7810</v>
      </c>
      <c r="D40" s="28">
        <v>39100</v>
      </c>
      <c r="E40" s="29"/>
      <c r="F40" s="28">
        <v>38364</v>
      </c>
      <c r="G40" s="29"/>
      <c r="H40" s="28">
        <v>38500</v>
      </c>
    </row>
    <row r="41" spans="1:8">
      <c r="A41" s="12" t="s">
        <v>299</v>
      </c>
      <c r="C41" s="16">
        <v>7815</v>
      </c>
      <c r="D41" s="28">
        <v>53320</v>
      </c>
      <c r="E41" s="29"/>
      <c r="F41" s="28">
        <v>53290</v>
      </c>
      <c r="G41" s="29"/>
      <c r="H41" s="28">
        <v>53290</v>
      </c>
    </row>
    <row r="42" spans="1:8">
      <c r="A42" s="12" t="s">
        <v>300</v>
      </c>
      <c r="C42" s="16">
        <v>7820</v>
      </c>
      <c r="D42" s="28">
        <v>0</v>
      </c>
      <c r="E42" s="29"/>
      <c r="F42" s="28">
        <v>1080</v>
      </c>
      <c r="G42" s="29"/>
      <c r="H42" s="28">
        <v>0</v>
      </c>
    </row>
    <row r="43" spans="1:8">
      <c r="A43" s="12" t="s">
        <v>301</v>
      </c>
      <c r="D43" s="29"/>
      <c r="E43" s="29"/>
      <c r="F43" s="29"/>
      <c r="G43" s="29"/>
      <c r="H43" s="29"/>
    </row>
    <row r="44" spans="1:8">
      <c r="A44" s="12" t="s">
        <v>302</v>
      </c>
      <c r="C44" s="16">
        <v>7825</v>
      </c>
      <c r="D44" s="28">
        <v>0</v>
      </c>
      <c r="E44" s="29"/>
      <c r="F44" s="28">
        <v>5747.91</v>
      </c>
      <c r="G44" s="29"/>
      <c r="H44" s="28">
        <v>0</v>
      </c>
    </row>
    <row r="45" spans="1:8">
      <c r="A45" s="12" t="s">
        <v>303</v>
      </c>
      <c r="C45" s="16">
        <v>7830</v>
      </c>
      <c r="D45" s="28">
        <v>0</v>
      </c>
      <c r="E45" s="29"/>
      <c r="F45" s="28">
        <v>0</v>
      </c>
      <c r="G45" s="29"/>
      <c r="H45" s="28">
        <v>0</v>
      </c>
    </row>
    <row r="46" spans="1:8">
      <c r="A46" s="12" t="s">
        <v>304</v>
      </c>
      <c r="C46" s="16">
        <v>7833</v>
      </c>
      <c r="D46" s="28">
        <v>0</v>
      </c>
      <c r="E46" s="29"/>
      <c r="F46" s="28">
        <v>0</v>
      </c>
      <c r="G46" s="29"/>
      <c r="H46" s="28">
        <v>0</v>
      </c>
    </row>
    <row r="47" spans="1:8">
      <c r="A47" s="12" t="s">
        <v>305</v>
      </c>
      <c r="C47" s="16">
        <v>7835</v>
      </c>
      <c r="D47" s="28">
        <v>0</v>
      </c>
      <c r="E47" s="29"/>
      <c r="F47" s="28">
        <v>54348.26</v>
      </c>
      <c r="G47" s="29"/>
      <c r="H47" s="28">
        <v>52804</v>
      </c>
    </row>
    <row r="48" spans="1:8">
      <c r="B48" s="32" t="s">
        <v>33</v>
      </c>
      <c r="C48" s="21">
        <v>7849</v>
      </c>
      <c r="D48" s="23">
        <f>SUM(D39:D47)</f>
        <v>92420</v>
      </c>
      <c r="E48" s="24"/>
      <c r="F48" s="23">
        <f>SUM(F39:F47)</f>
        <v>152830.17000000001</v>
      </c>
      <c r="G48" s="24" t="s">
        <v>296</v>
      </c>
      <c r="H48" s="23">
        <f>SUM(H39:H47)</f>
        <v>144594</v>
      </c>
    </row>
    <row r="49" spans="1:8">
      <c r="D49" s="24"/>
      <c r="E49" s="24"/>
      <c r="F49" s="24"/>
      <c r="G49" s="24"/>
      <c r="H49" s="24"/>
    </row>
    <row r="50" spans="1:8" ht="13.5" thickBot="1">
      <c r="A50" s="13" t="s">
        <v>306</v>
      </c>
      <c r="C50" s="21">
        <v>7899</v>
      </c>
      <c r="D50" s="25">
        <f>D36-D48</f>
        <v>178331</v>
      </c>
      <c r="E50" s="24"/>
      <c r="F50" s="25">
        <f>F36-F48</f>
        <v>224990.14000000004</v>
      </c>
      <c r="G50" s="24"/>
      <c r="H50" s="25">
        <f>H36-H48</f>
        <v>256299.25500000012</v>
      </c>
    </row>
    <row r="51" spans="1:8" ht="13.5" thickTop="1"/>
  </sheetData>
  <sheetProtection password="DBAD" sheet="1" objects="1" scenarios="1"/>
  <printOptions horizontalCentered="1"/>
  <pageMargins left="0.25" right="0.25" top="1" bottom="1" header="0.5" footer="0.5"/>
  <pageSetup scale="99" orientation="portrait" horizontalDpi="4294967295" r:id="rId1"/>
  <headerFooter alignWithMargins="0">
    <oddFooter>&amp;CPage &amp;[5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FFFF00"/>
  </sheetPr>
  <dimension ref="A1:K108"/>
  <sheetViews>
    <sheetView tabSelected="1" topLeftCell="A16" zoomScaleNormal="100" workbookViewId="0">
      <selection activeCell="M18" sqref="M18"/>
    </sheetView>
  </sheetViews>
  <sheetFormatPr defaultRowHeight="15"/>
  <cols>
    <col min="1" max="1" width="12.7109375" style="35" customWidth="1"/>
    <col min="2" max="3" width="9.140625" style="35"/>
    <col min="4" max="4" width="15.5703125" style="35" customWidth="1"/>
    <col min="5" max="5" width="12.28515625" style="35" bestFit="1" customWidth="1"/>
    <col min="6" max="6" width="10.5703125" style="35" bestFit="1" customWidth="1"/>
    <col min="7" max="7" width="13.42578125" style="35" bestFit="1" customWidth="1"/>
    <col min="8" max="9" width="13.28515625" style="35" customWidth="1"/>
    <col min="10" max="16384" width="9.140625" style="35"/>
  </cols>
  <sheetData>
    <row r="1" spans="1:9" ht="18.75">
      <c r="A1" s="34" t="s">
        <v>40</v>
      </c>
      <c r="B1" s="34"/>
      <c r="C1" s="34"/>
      <c r="D1" s="34"/>
      <c r="E1" s="34"/>
    </row>
    <row r="2" spans="1:9" ht="18.75">
      <c r="A2" s="34" t="s">
        <v>41</v>
      </c>
      <c r="B2" s="34"/>
      <c r="C2" s="34"/>
      <c r="D2" s="34"/>
      <c r="E2" s="34"/>
    </row>
    <row r="3" spans="1:9" ht="18.75">
      <c r="A3" s="34" t="s">
        <v>711</v>
      </c>
      <c r="B3" s="34"/>
      <c r="C3" s="34"/>
      <c r="D3" s="34"/>
      <c r="E3" s="34"/>
    </row>
    <row r="4" spans="1:9" ht="18.75">
      <c r="A4" s="34"/>
      <c r="B4" s="34"/>
      <c r="C4" s="34"/>
      <c r="D4" s="34"/>
      <c r="E4" s="34"/>
    </row>
    <row r="5" spans="1:9">
      <c r="G5" s="104">
        <v>46203</v>
      </c>
      <c r="H5" s="104">
        <v>45838</v>
      </c>
      <c r="I5" s="36" t="s">
        <v>22</v>
      </c>
    </row>
    <row r="6" spans="1:9">
      <c r="A6" s="37" t="s">
        <v>18</v>
      </c>
    </row>
    <row r="7" spans="1:9">
      <c r="B7" s="35" t="s">
        <v>490</v>
      </c>
      <c r="G7" s="38">
        <v>935231.99</v>
      </c>
      <c r="H7" s="38">
        <v>914489.91</v>
      </c>
      <c r="I7" s="39">
        <f>+G7-H7</f>
        <v>20742.079999999958</v>
      </c>
    </row>
    <row r="8" spans="1:9">
      <c r="B8" s="35" t="s">
        <v>686</v>
      </c>
      <c r="G8" s="38">
        <v>16888.62</v>
      </c>
      <c r="H8" s="38">
        <v>9338.89</v>
      </c>
      <c r="I8" s="39">
        <f>+G8-H8</f>
        <v>7549.73</v>
      </c>
    </row>
    <row r="9" spans="1:9">
      <c r="B9" s="35" t="s">
        <v>553</v>
      </c>
      <c r="G9" s="108">
        <v>112966.93000000001</v>
      </c>
      <c r="H9" s="108">
        <v>133154.96000000002</v>
      </c>
      <c r="I9" s="39">
        <f t="shared" ref="I9:I10" si="0">+G9-H9</f>
        <v>-20188.030000000013</v>
      </c>
    </row>
    <row r="10" spans="1:9" ht="17.25">
      <c r="B10" s="35" t="s">
        <v>2</v>
      </c>
      <c r="G10" s="109">
        <v>36640.06</v>
      </c>
      <c r="H10" s="109">
        <v>39942.18</v>
      </c>
      <c r="I10" s="41">
        <f t="shared" si="0"/>
        <v>-3302.1200000000026</v>
      </c>
    </row>
    <row r="11" spans="1:9">
      <c r="G11" s="106"/>
      <c r="H11" s="106"/>
    </row>
    <row r="12" spans="1:9">
      <c r="C12" s="37" t="s">
        <v>17</v>
      </c>
      <c r="G12" s="108">
        <f>SUM(G7:G10)</f>
        <v>1101727.6000000001</v>
      </c>
      <c r="H12" s="108">
        <f>SUM(H7:H10)</f>
        <v>1096925.94</v>
      </c>
      <c r="I12" s="38">
        <f>SUM(I7:I10)</f>
        <v>4801.6599999999416</v>
      </c>
    </row>
    <row r="13" spans="1:9" ht="12" customHeight="1">
      <c r="G13" s="108"/>
      <c r="H13" s="108"/>
    </row>
    <row r="14" spans="1:9">
      <c r="A14" s="37" t="s">
        <v>19</v>
      </c>
      <c r="G14" s="108"/>
      <c r="H14" s="108"/>
    </row>
    <row r="15" spans="1:9">
      <c r="A15" s="37"/>
      <c r="B15" s="35" t="s">
        <v>485</v>
      </c>
      <c r="G15" s="108">
        <v>3386.18</v>
      </c>
      <c r="H15" s="108">
        <v>5819.6</v>
      </c>
      <c r="I15" s="39">
        <f t="shared" ref="I15" si="1">+G15-H15</f>
        <v>-2433.4200000000005</v>
      </c>
    </row>
    <row r="16" spans="1:9" ht="17.25">
      <c r="B16" s="64" t="s">
        <v>486</v>
      </c>
      <c r="G16" s="109">
        <v>16713.21</v>
      </c>
      <c r="H16" s="109">
        <v>23634.78</v>
      </c>
      <c r="I16" s="41">
        <f t="shared" ref="I16" si="2">+G16-H16</f>
        <v>-6921.57</v>
      </c>
    </row>
    <row r="17" spans="1:9" ht="12" customHeight="1">
      <c r="G17" s="105"/>
      <c r="H17" s="105"/>
    </row>
    <row r="18" spans="1:9" ht="17.25">
      <c r="C18" s="37" t="s">
        <v>3</v>
      </c>
      <c r="G18" s="110">
        <f>+G12+G16+G15</f>
        <v>1121826.99</v>
      </c>
      <c r="H18" s="110">
        <f>+H12+H16+H15</f>
        <v>1126380.32</v>
      </c>
      <c r="I18" s="110">
        <f>G18-H18</f>
        <v>-4553.3300000000745</v>
      </c>
    </row>
    <row r="19" spans="1:9" ht="12" customHeight="1">
      <c r="G19" s="105"/>
      <c r="H19" s="105"/>
    </row>
    <row r="20" spans="1:9">
      <c r="A20" s="37" t="s">
        <v>20</v>
      </c>
      <c r="G20" s="105"/>
      <c r="H20" s="105"/>
    </row>
    <row r="21" spans="1:9">
      <c r="B21" s="35" t="s">
        <v>4</v>
      </c>
      <c r="G21" s="108">
        <v>126499.92</v>
      </c>
      <c r="H21" s="108">
        <v>121500</v>
      </c>
      <c r="I21" s="39">
        <f t="shared" ref="I21:I35" si="3">+G21-H21</f>
        <v>4999.9199999999983</v>
      </c>
    </row>
    <row r="22" spans="1:9">
      <c r="B22" s="35" t="s">
        <v>687</v>
      </c>
      <c r="G22" s="108">
        <v>409195.3</v>
      </c>
      <c r="H22" s="108">
        <v>414790.46</v>
      </c>
      <c r="I22" s="39">
        <f t="shared" si="3"/>
        <v>-5595.1600000000326</v>
      </c>
    </row>
    <row r="23" spans="1:9">
      <c r="B23" s="35" t="s">
        <v>513</v>
      </c>
      <c r="G23" s="108">
        <v>71706</v>
      </c>
      <c r="H23" s="108">
        <v>71498.039999999994</v>
      </c>
      <c r="I23" s="39">
        <f t="shared" si="3"/>
        <v>207.9600000000064</v>
      </c>
    </row>
    <row r="24" spans="1:9">
      <c r="B24" s="35" t="s">
        <v>473</v>
      </c>
      <c r="G24" s="108">
        <v>88528.41</v>
      </c>
      <c r="H24" s="108">
        <v>93837.5</v>
      </c>
      <c r="I24" s="39">
        <f t="shared" si="3"/>
        <v>-5309.0899999999965</v>
      </c>
    </row>
    <row r="25" spans="1:9">
      <c r="B25" s="35" t="s">
        <v>8</v>
      </c>
      <c r="G25" s="108">
        <v>21601.73</v>
      </c>
      <c r="H25" s="108">
        <v>12389.87</v>
      </c>
      <c r="I25" s="39">
        <f t="shared" si="3"/>
        <v>9211.8599999999988</v>
      </c>
    </row>
    <row r="26" spans="1:9">
      <c r="B26" s="35" t="s">
        <v>9</v>
      </c>
      <c r="G26" s="108">
        <v>868.09</v>
      </c>
      <c r="H26" s="108">
        <v>841.42</v>
      </c>
      <c r="I26" s="39">
        <f t="shared" si="3"/>
        <v>26.670000000000073</v>
      </c>
    </row>
    <row r="27" spans="1:9">
      <c r="B27" s="35" t="s">
        <v>10</v>
      </c>
      <c r="G27" s="108">
        <v>11440.67</v>
      </c>
      <c r="H27" s="108">
        <v>18174.240000000002</v>
      </c>
      <c r="I27" s="39">
        <f t="shared" si="3"/>
        <v>-6733.5700000000015</v>
      </c>
    </row>
    <row r="28" spans="1:9">
      <c r="B28" s="35" t="s">
        <v>11</v>
      </c>
      <c r="G28" s="108">
        <v>16830.240000000002</v>
      </c>
      <c r="H28" s="108">
        <v>33132.620000000003</v>
      </c>
      <c r="I28" s="39">
        <f t="shared" si="3"/>
        <v>-16302.380000000001</v>
      </c>
    </row>
    <row r="29" spans="1:9">
      <c r="B29" s="35" t="s">
        <v>2</v>
      </c>
      <c r="G29" s="108">
        <v>11620.84</v>
      </c>
      <c r="H29" s="108">
        <v>12855.65</v>
      </c>
      <c r="I29" s="39">
        <f t="shared" si="3"/>
        <v>-1234.8099999999995</v>
      </c>
    </row>
    <row r="30" spans="1:9">
      <c r="B30" s="35" t="s">
        <v>487</v>
      </c>
      <c r="G30" s="108">
        <v>44913.11</v>
      </c>
      <c r="H30" s="108">
        <v>39354.81</v>
      </c>
      <c r="I30" s="39">
        <f t="shared" si="3"/>
        <v>5558.3000000000029</v>
      </c>
    </row>
    <row r="31" spans="1:9">
      <c r="B31" s="35" t="s">
        <v>489</v>
      </c>
      <c r="G31" s="108">
        <v>138369.65</v>
      </c>
      <c r="H31" s="108">
        <v>152413.34</v>
      </c>
      <c r="I31" s="39">
        <f t="shared" si="3"/>
        <v>-14043.690000000002</v>
      </c>
    </row>
    <row r="32" spans="1:9">
      <c r="B32" s="35" t="s">
        <v>488</v>
      </c>
      <c r="G32" s="108">
        <v>41897.589999999997</v>
      </c>
      <c r="H32" s="108">
        <v>36264.58</v>
      </c>
      <c r="I32" s="39">
        <f t="shared" si="3"/>
        <v>5633.0099999999948</v>
      </c>
    </row>
    <row r="33" spans="1:9">
      <c r="B33" s="35" t="s">
        <v>15</v>
      </c>
      <c r="G33" s="108">
        <v>0</v>
      </c>
      <c r="H33" s="108">
        <v>0</v>
      </c>
      <c r="I33" s="44">
        <f t="shared" si="3"/>
        <v>0</v>
      </c>
    </row>
    <row r="34" spans="1:9">
      <c r="B34" s="35" t="s">
        <v>702</v>
      </c>
      <c r="G34" s="108">
        <v>0</v>
      </c>
      <c r="H34" s="108">
        <v>25000</v>
      </c>
      <c r="I34" s="44">
        <f t="shared" si="3"/>
        <v>-25000</v>
      </c>
    </row>
    <row r="35" spans="1:9" ht="17.25">
      <c r="B35" s="35" t="s">
        <v>688</v>
      </c>
      <c r="G35" s="109">
        <v>56300</v>
      </c>
      <c r="H35" s="109">
        <v>59200</v>
      </c>
      <c r="I35" s="41">
        <f t="shared" si="3"/>
        <v>-2900</v>
      </c>
    </row>
    <row r="36" spans="1:9" ht="12" customHeight="1">
      <c r="G36" s="105"/>
      <c r="H36" s="105"/>
    </row>
    <row r="37" spans="1:9" ht="17.25">
      <c r="C37" s="37" t="s">
        <v>16</v>
      </c>
      <c r="G37" s="110">
        <f>SUM(G21:G35)</f>
        <v>1039771.5499999999</v>
      </c>
      <c r="H37" s="110">
        <f>SUM(H21:H35)</f>
        <v>1091252.53</v>
      </c>
      <c r="I37" s="33">
        <f>+G37-H37</f>
        <v>-51480.980000000098</v>
      </c>
    </row>
    <row r="38" spans="1:9" ht="12" customHeight="1">
      <c r="G38" s="105"/>
      <c r="H38" s="105"/>
      <c r="I38" s="38"/>
    </row>
    <row r="39" spans="1:9">
      <c r="C39" s="37" t="s">
        <v>21</v>
      </c>
      <c r="G39" s="108">
        <f>+G18-G37</f>
        <v>82055.440000000061</v>
      </c>
      <c r="H39" s="108">
        <f>+H18-H37</f>
        <v>35127.790000000037</v>
      </c>
      <c r="I39" s="43">
        <f>+I18-I37</f>
        <v>46927.650000000023</v>
      </c>
    </row>
    <row r="40" spans="1:9">
      <c r="G40" s="105"/>
      <c r="H40" s="105"/>
    </row>
    <row r="41" spans="1:9" ht="18.75">
      <c r="A41" s="49" t="s">
        <v>62</v>
      </c>
      <c r="G41" s="104">
        <v>46203</v>
      </c>
      <c r="H41" s="104">
        <v>45838</v>
      </c>
      <c r="I41" s="36" t="s">
        <v>22</v>
      </c>
    </row>
    <row r="42" spans="1:9" ht="17.25">
      <c r="B42" s="35" t="s">
        <v>707</v>
      </c>
      <c r="G42" s="110">
        <v>3856.77</v>
      </c>
      <c r="H42" s="110">
        <v>39856.769999999997</v>
      </c>
      <c r="I42" s="41">
        <f t="shared" ref="I42:I44" si="4">+G42-H42</f>
        <v>-36000</v>
      </c>
    </row>
    <row r="43" spans="1:9" ht="12" customHeight="1">
      <c r="G43" s="107"/>
      <c r="H43" s="107"/>
    </row>
    <row r="44" spans="1:9" ht="17.25">
      <c r="E44" s="37" t="s">
        <v>706</v>
      </c>
      <c r="G44" s="111">
        <f>G42</f>
        <v>3856.77</v>
      </c>
      <c r="H44" s="111">
        <f>H42</f>
        <v>39856.769999999997</v>
      </c>
      <c r="I44" s="50">
        <f t="shared" si="4"/>
        <v>-36000</v>
      </c>
    </row>
    <row r="45" spans="1:9">
      <c r="G45" s="107"/>
      <c r="H45" s="107"/>
    </row>
    <row r="46" spans="1:9" ht="18.75">
      <c r="A46" s="34" t="s">
        <v>40</v>
      </c>
      <c r="D46" s="34"/>
      <c r="E46" s="34"/>
      <c r="G46" s="107"/>
      <c r="H46" s="107"/>
    </row>
    <row r="47" spans="1:9" ht="18.75">
      <c r="A47" s="34" t="s">
        <v>42</v>
      </c>
      <c r="B47" s="51"/>
      <c r="C47" s="51"/>
      <c r="D47" s="34"/>
      <c r="E47" s="34"/>
      <c r="G47" s="107"/>
      <c r="H47" s="107"/>
    </row>
    <row r="48" spans="1:9" ht="18.75">
      <c r="A48" s="34" t="s">
        <v>711</v>
      </c>
      <c r="B48" s="51"/>
      <c r="C48" s="51"/>
      <c r="D48" s="34"/>
      <c r="E48" s="34"/>
      <c r="G48" s="107"/>
      <c r="H48" s="107"/>
    </row>
    <row r="49" spans="1:9" ht="17.25">
      <c r="A49" s="35" t="s">
        <v>709</v>
      </c>
      <c r="E49" s="38"/>
      <c r="F49" s="38"/>
      <c r="G49" s="110">
        <f>H77</f>
        <v>604405.4</v>
      </c>
      <c r="H49" s="105"/>
      <c r="I49" s="38"/>
    </row>
    <row r="50" spans="1:9">
      <c r="A50" s="52" t="s">
        <v>26</v>
      </c>
      <c r="E50" s="38"/>
      <c r="F50" s="105"/>
      <c r="G50" s="105"/>
      <c r="H50" s="105"/>
      <c r="I50" s="38"/>
    </row>
    <row r="51" spans="1:9">
      <c r="A51" s="35" t="s">
        <v>471</v>
      </c>
      <c r="E51" s="38"/>
      <c r="F51" s="159">
        <f>G39</f>
        <v>82055.440000000061</v>
      </c>
      <c r="G51" s="105"/>
      <c r="H51" s="107"/>
      <c r="I51" s="38"/>
    </row>
    <row r="52" spans="1:9">
      <c r="A52" s="35" t="s">
        <v>27</v>
      </c>
      <c r="E52" s="38"/>
      <c r="F52" s="159">
        <v>46901.469999999994</v>
      </c>
      <c r="G52" s="105"/>
      <c r="H52" s="105"/>
      <c r="I52" s="38"/>
    </row>
    <row r="53" spans="1:9">
      <c r="A53" s="35" t="s">
        <v>64</v>
      </c>
      <c r="E53" s="38"/>
      <c r="F53" s="159">
        <v>0</v>
      </c>
      <c r="G53" s="105"/>
      <c r="H53" s="105"/>
      <c r="I53" s="38"/>
    </row>
    <row r="54" spans="1:9">
      <c r="A54" s="35" t="s">
        <v>535</v>
      </c>
      <c r="E54" s="38"/>
      <c r="F54" s="159">
        <v>0</v>
      </c>
      <c r="G54" s="108"/>
      <c r="H54" s="108"/>
      <c r="I54" s="38"/>
    </row>
    <row r="55" spans="1:9" ht="12" customHeight="1">
      <c r="E55" s="38"/>
      <c r="F55" s="160"/>
      <c r="G55" s="108"/>
      <c r="H55" s="108"/>
      <c r="I55" s="38"/>
    </row>
    <row r="56" spans="1:9" ht="17.25">
      <c r="C56" s="37" t="s">
        <v>28</v>
      </c>
      <c r="E56" s="38"/>
      <c r="F56" s="105"/>
      <c r="G56" s="110">
        <f>SUM(F51:F54)</f>
        <v>128956.91000000006</v>
      </c>
      <c r="H56" s="108"/>
      <c r="I56" s="38"/>
    </row>
    <row r="57" spans="1:9" ht="17.25">
      <c r="C57" s="37" t="s">
        <v>29</v>
      </c>
      <c r="E57" s="38"/>
      <c r="F57" s="105"/>
      <c r="G57" s="110">
        <f>+G49+G56</f>
        <v>733362.31</v>
      </c>
      <c r="H57" s="108"/>
      <c r="I57" s="38"/>
    </row>
    <row r="58" spans="1:9" ht="12" customHeight="1">
      <c r="C58" s="37"/>
      <c r="E58" s="38"/>
      <c r="F58" s="105"/>
      <c r="G58" s="110"/>
      <c r="H58" s="108"/>
      <c r="I58" s="38"/>
    </row>
    <row r="59" spans="1:9">
      <c r="A59" s="35" t="s">
        <v>30</v>
      </c>
      <c r="E59" s="38"/>
      <c r="F59" s="105"/>
      <c r="G59" s="108"/>
      <c r="H59" s="108"/>
      <c r="I59" s="38"/>
    </row>
    <row r="60" spans="1:9">
      <c r="A60" s="35" t="s">
        <v>43</v>
      </c>
      <c r="E60" s="38"/>
      <c r="F60" s="108">
        <v>0</v>
      </c>
      <c r="G60" s="108"/>
      <c r="H60" s="108"/>
      <c r="I60" s="38"/>
    </row>
    <row r="61" spans="1:9">
      <c r="A61" s="35" t="s">
        <v>31</v>
      </c>
      <c r="E61" s="38"/>
      <c r="F61" s="108">
        <v>50012.79</v>
      </c>
      <c r="G61" s="108"/>
      <c r="H61" s="108"/>
      <c r="I61" s="38"/>
    </row>
    <row r="62" spans="1:9">
      <c r="A62" s="35" t="s">
        <v>529</v>
      </c>
      <c r="E62" s="38"/>
      <c r="F62" s="108">
        <v>36000</v>
      </c>
      <c r="G62" s="108"/>
      <c r="H62" s="108"/>
      <c r="I62" s="38"/>
    </row>
    <row r="63" spans="1:9">
      <c r="A63" s="35" t="s">
        <v>708</v>
      </c>
      <c r="E63" s="38"/>
      <c r="F63" s="108">
        <v>5119.2700000000004</v>
      </c>
      <c r="G63" s="108"/>
      <c r="H63" s="108"/>
      <c r="I63" s="38"/>
    </row>
    <row r="64" spans="1:9">
      <c r="A64" s="35" t="s">
        <v>67</v>
      </c>
      <c r="E64" s="38"/>
      <c r="F64" s="108">
        <v>7484.66</v>
      </c>
      <c r="G64" s="108"/>
      <c r="H64" s="108"/>
      <c r="I64" s="38"/>
    </row>
    <row r="65" spans="1:11" ht="12" customHeight="1">
      <c r="E65" s="38"/>
      <c r="F65" s="105"/>
      <c r="G65" s="108"/>
      <c r="H65" s="108"/>
      <c r="I65" s="38"/>
    </row>
    <row r="66" spans="1:11" ht="17.25">
      <c r="C66" s="37" t="s">
        <v>33</v>
      </c>
      <c r="E66" s="38"/>
      <c r="F66" s="105"/>
      <c r="G66" s="110">
        <f>SUM(F60:F64)</f>
        <v>98616.720000000016</v>
      </c>
      <c r="H66" s="108"/>
      <c r="I66" s="38"/>
    </row>
    <row r="67" spans="1:11" ht="17.25">
      <c r="A67" s="35" t="s">
        <v>712</v>
      </c>
      <c r="F67" s="107"/>
      <c r="G67" s="110">
        <f>G57-G66</f>
        <v>634745.59000000008</v>
      </c>
      <c r="H67" s="105"/>
      <c r="J67" s="39"/>
      <c r="K67" s="42"/>
    </row>
    <row r="68" spans="1:11" ht="12" customHeight="1">
      <c r="F68" s="107"/>
      <c r="G68" s="64"/>
      <c r="H68" s="64"/>
    </row>
    <row r="69" spans="1:11" ht="18.75">
      <c r="A69" s="49" t="s">
        <v>34</v>
      </c>
      <c r="F69" s="107"/>
      <c r="G69" s="104">
        <v>46203</v>
      </c>
      <c r="H69" s="104">
        <v>45838</v>
      </c>
    </row>
    <row r="70" spans="1:11">
      <c r="A70" s="35" t="s">
        <v>36</v>
      </c>
      <c r="G70" s="108">
        <v>125989.98000000001</v>
      </c>
      <c r="H70" s="108">
        <v>85736.34</v>
      </c>
    </row>
    <row r="71" spans="1:11">
      <c r="A71" s="35" t="s">
        <v>530</v>
      </c>
      <c r="G71" s="108">
        <v>66611.039999999994</v>
      </c>
      <c r="H71" s="108">
        <v>115558.46</v>
      </c>
      <c r="K71" s="39"/>
    </row>
    <row r="72" spans="1:11">
      <c r="A72" s="35" t="s">
        <v>699</v>
      </c>
      <c r="G72" s="108">
        <v>383120.91</v>
      </c>
      <c r="H72" s="108">
        <v>371449.46</v>
      </c>
      <c r="K72" s="39"/>
    </row>
    <row r="73" spans="1:11">
      <c r="A73" s="35" t="s">
        <v>37</v>
      </c>
      <c r="G73" s="108">
        <v>33601.550000000003</v>
      </c>
      <c r="H73" s="108">
        <v>30868.55</v>
      </c>
    </row>
    <row r="74" spans="1:11">
      <c r="A74" s="35" t="s">
        <v>531</v>
      </c>
      <c r="G74" s="108">
        <v>795.08999999999992</v>
      </c>
      <c r="H74" s="108">
        <v>453.52000000000004</v>
      </c>
    </row>
    <row r="75" spans="1:11" ht="17.25">
      <c r="A75" s="35" t="s">
        <v>470</v>
      </c>
      <c r="G75" s="110">
        <v>365.95</v>
      </c>
      <c r="H75" s="110">
        <v>339.07</v>
      </c>
    </row>
    <row r="76" spans="1:11" ht="12" customHeight="1">
      <c r="G76" s="105"/>
      <c r="H76" s="105"/>
    </row>
    <row r="77" spans="1:11" ht="17.25">
      <c r="C77" s="37" t="s">
        <v>38</v>
      </c>
      <c r="G77" s="110">
        <f>SUM(G70:G76)</f>
        <v>610484.5199999999</v>
      </c>
      <c r="H77" s="110">
        <f>SUM(H70:H76)</f>
        <v>604405.4</v>
      </c>
      <c r="I77" s="175"/>
    </row>
    <row r="78" spans="1:11" ht="17.25">
      <c r="C78" s="37"/>
      <c r="G78" s="33"/>
      <c r="H78" s="33"/>
      <c r="I78" s="38"/>
    </row>
    <row r="79" spans="1:11" ht="18.75">
      <c r="E79" s="34" t="s">
        <v>44</v>
      </c>
      <c r="H79" s="38"/>
      <c r="I79" s="38"/>
    </row>
    <row r="80" spans="1:11" ht="18.75">
      <c r="D80" s="34" t="s">
        <v>45</v>
      </c>
    </row>
    <row r="81" spans="2:7" ht="18.75">
      <c r="D81" s="34" t="s">
        <v>713</v>
      </c>
      <c r="E81" s="34"/>
    </row>
    <row r="82" spans="2:7">
      <c r="B82" s="52" t="s">
        <v>46</v>
      </c>
    </row>
    <row r="83" spans="2:7">
      <c r="B83" s="35" t="s">
        <v>47</v>
      </c>
    </row>
    <row r="84" spans="2:7">
      <c r="B84" s="35" t="s">
        <v>48</v>
      </c>
      <c r="E84" s="108">
        <v>125989.98000000001</v>
      </c>
      <c r="G84" s="55"/>
    </row>
    <row r="85" spans="2:7">
      <c r="B85" s="35" t="s">
        <v>710</v>
      </c>
      <c r="E85" s="108">
        <v>450097.89999999997</v>
      </c>
      <c r="G85" s="55"/>
    </row>
    <row r="86" spans="2:7">
      <c r="B86" s="35" t="s">
        <v>49</v>
      </c>
      <c r="E86" s="108">
        <f>E84+E85</f>
        <v>576087.88</v>
      </c>
      <c r="G86" s="55"/>
    </row>
    <row r="87" spans="2:7" ht="12" customHeight="1">
      <c r="E87" s="105"/>
      <c r="G87" s="55"/>
    </row>
    <row r="88" spans="2:7">
      <c r="B88" s="35" t="s">
        <v>50</v>
      </c>
      <c r="E88" s="105"/>
      <c r="G88" s="55"/>
    </row>
    <row r="89" spans="2:7">
      <c r="B89" s="35" t="s">
        <v>532</v>
      </c>
      <c r="E89" s="108">
        <v>795.08999999999992</v>
      </c>
      <c r="G89" s="55"/>
    </row>
    <row r="90" spans="2:7" ht="17.25">
      <c r="B90" s="35" t="s">
        <v>51</v>
      </c>
      <c r="E90" s="110">
        <v>33601.550000000003</v>
      </c>
      <c r="G90" s="55"/>
    </row>
    <row r="91" spans="2:7">
      <c r="B91" s="35" t="s">
        <v>59</v>
      </c>
      <c r="E91" s="108">
        <f>SUM(E89:E90)</f>
        <v>34396.639999999999</v>
      </c>
      <c r="G91" s="55"/>
    </row>
    <row r="92" spans="2:7" ht="12" customHeight="1">
      <c r="E92" s="108"/>
      <c r="G92" s="55"/>
    </row>
    <row r="93" spans="2:7">
      <c r="B93" s="35" t="s">
        <v>60</v>
      </c>
      <c r="E93" s="109">
        <f>+E86+E91</f>
        <v>610484.52</v>
      </c>
      <c r="G93" s="55"/>
    </row>
    <row r="94" spans="2:7">
      <c r="B94" s="52" t="s">
        <v>52</v>
      </c>
      <c r="E94" s="112">
        <f>+E93</f>
        <v>610484.52</v>
      </c>
      <c r="F94" s="39"/>
      <c r="G94" s="55"/>
    </row>
    <row r="95" spans="2:7" ht="12" customHeight="1">
      <c r="E95" s="105"/>
      <c r="G95" s="55"/>
    </row>
    <row r="96" spans="2:7">
      <c r="B96" s="52" t="s">
        <v>53</v>
      </c>
      <c r="E96" s="108"/>
      <c r="G96" s="55"/>
    </row>
    <row r="97" spans="2:7">
      <c r="B97" s="35" t="s">
        <v>377</v>
      </c>
      <c r="E97" s="108">
        <v>35027.129999999997</v>
      </c>
      <c r="G97" s="55"/>
    </row>
    <row r="98" spans="2:7">
      <c r="B98" s="35" t="s">
        <v>484</v>
      </c>
      <c r="E98" s="108">
        <v>3856.77</v>
      </c>
      <c r="G98" s="55"/>
    </row>
    <row r="99" spans="2:7">
      <c r="B99" s="35" t="s">
        <v>339</v>
      </c>
      <c r="E99" s="108">
        <f>SUM(E97:E98)</f>
        <v>38883.899999999994</v>
      </c>
      <c r="G99" s="55"/>
    </row>
    <row r="100" spans="2:7" ht="12" customHeight="1">
      <c r="B100" s="52"/>
      <c r="E100" s="108"/>
      <c r="G100" s="55"/>
    </row>
    <row r="101" spans="2:7">
      <c r="B101" s="35" t="s">
        <v>54</v>
      </c>
      <c r="E101" s="108"/>
      <c r="G101" s="55"/>
    </row>
    <row r="102" spans="2:7">
      <c r="B102" s="35" t="s">
        <v>55</v>
      </c>
      <c r="E102" s="108">
        <v>497029.83999999997</v>
      </c>
      <c r="G102" s="55"/>
    </row>
    <row r="103" spans="2:7">
      <c r="B103" s="35" t="s">
        <v>56</v>
      </c>
      <c r="E103" s="108">
        <v>74570.78</v>
      </c>
      <c r="G103" s="55"/>
    </row>
    <row r="104" spans="2:7">
      <c r="B104" s="35" t="s">
        <v>57</v>
      </c>
      <c r="E104" s="109">
        <f>SUM(E102:E103)</f>
        <v>571600.62</v>
      </c>
      <c r="G104" s="55"/>
    </row>
    <row r="105" spans="2:7" ht="12" customHeight="1">
      <c r="E105" s="108"/>
      <c r="G105" s="55"/>
    </row>
    <row r="106" spans="2:7">
      <c r="B106" s="52" t="s">
        <v>58</v>
      </c>
      <c r="E106" s="112">
        <f>E99+E104</f>
        <v>610484.52</v>
      </c>
      <c r="G106" s="55"/>
    </row>
    <row r="107" spans="2:7">
      <c r="E107" s="107"/>
    </row>
    <row r="108" spans="2:7">
      <c r="E108" s="107"/>
    </row>
  </sheetData>
  <printOptions horizontalCentered="1"/>
  <pageMargins left="0.45" right="0.45" top="0.25" bottom="0.25" header="0.3" footer="0.05"/>
  <pageSetup scale="85" fitToHeight="2" orientation="portrait" horizontalDpi="300" verticalDpi="300" r:id="rId1"/>
  <rowBreaks count="2" manualBreakCount="2">
    <brk id="45" max="8" man="1"/>
    <brk id="78" max="8" man="1"/>
  </rowBreaks>
  <ignoredErrors>
    <ignoredError sqref="G77:H7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8DCFD-34F9-40DA-ACB4-945AECFFD2D5}">
  <dimension ref="A1:J166"/>
  <sheetViews>
    <sheetView topLeftCell="A147" workbookViewId="0">
      <selection activeCell="D53" sqref="D53"/>
    </sheetView>
  </sheetViews>
  <sheetFormatPr defaultRowHeight="15"/>
  <cols>
    <col min="1" max="1" width="31.42578125" bestFit="1" customWidth="1"/>
    <col min="2" max="2" width="31.5703125" bestFit="1" customWidth="1"/>
    <col min="3" max="3" width="33.140625" bestFit="1" customWidth="1"/>
    <col min="4" max="5" width="12.28515625" bestFit="1" customWidth="1"/>
    <col min="6" max="7" width="9" bestFit="1" customWidth="1"/>
    <col min="9" max="10" width="13.28515625" bestFit="1" customWidth="1"/>
  </cols>
  <sheetData>
    <row r="1" spans="1:7" ht="15.75" thickBot="1">
      <c r="A1" s="4"/>
      <c r="B1" s="4"/>
      <c r="C1" s="4"/>
      <c r="D1" s="162"/>
      <c r="E1" s="162"/>
      <c r="F1" s="162"/>
      <c r="G1" s="162"/>
    </row>
    <row r="2" spans="1:7" ht="16.5" thickTop="1" thickBot="1">
      <c r="A2" s="1"/>
      <c r="B2" s="1"/>
      <c r="C2" s="1"/>
      <c r="D2" s="172" t="s">
        <v>700</v>
      </c>
      <c r="E2" s="172" t="s">
        <v>684</v>
      </c>
      <c r="F2" s="172" t="s">
        <v>374</v>
      </c>
      <c r="G2" s="172" t="s">
        <v>685</v>
      </c>
    </row>
    <row r="3" spans="1:7" ht="15.75" thickTop="1">
      <c r="A3" s="4" t="s">
        <v>75</v>
      </c>
      <c r="B3" s="4"/>
      <c r="C3" s="4"/>
      <c r="D3" s="5"/>
      <c r="E3" s="5"/>
      <c r="F3" s="5"/>
      <c r="G3" s="163"/>
    </row>
    <row r="4" spans="1:7">
      <c r="A4" s="4" t="s">
        <v>76</v>
      </c>
      <c r="B4" s="4"/>
      <c r="C4" s="4"/>
      <c r="D4" s="5"/>
      <c r="E4" s="5"/>
      <c r="F4" s="5"/>
      <c r="G4" s="163"/>
    </row>
    <row r="5" spans="1:7">
      <c r="A5" s="4"/>
      <c r="B5" s="4" t="s">
        <v>77</v>
      </c>
      <c r="C5" s="4"/>
      <c r="D5" s="5"/>
      <c r="E5" s="5"/>
      <c r="F5" s="5"/>
      <c r="G5" s="163"/>
    </row>
    <row r="6" spans="1:7">
      <c r="A6" s="4"/>
      <c r="B6" s="4"/>
      <c r="C6" s="4" t="s">
        <v>537</v>
      </c>
      <c r="D6" s="5">
        <v>229523.53</v>
      </c>
      <c r="E6" s="5">
        <v>230619</v>
      </c>
      <c r="F6" s="5">
        <v>-1095.47</v>
      </c>
      <c r="G6" s="163">
        <v>-4.7499999999999999E-3</v>
      </c>
    </row>
    <row r="7" spans="1:7" ht="15.75" thickBot="1">
      <c r="A7" s="4"/>
      <c r="B7" s="4"/>
      <c r="C7" s="4" t="s">
        <v>396</v>
      </c>
      <c r="D7" s="164">
        <v>584993.87</v>
      </c>
      <c r="E7" s="164">
        <v>562263.18999999994</v>
      </c>
      <c r="F7" s="164">
        <v>22730.68</v>
      </c>
      <c r="G7" s="165">
        <v>4.0430000000000001E-2</v>
      </c>
    </row>
    <row r="8" spans="1:7">
      <c r="A8" s="4"/>
      <c r="B8" s="4" t="s">
        <v>79</v>
      </c>
      <c r="C8" s="4"/>
      <c r="D8" s="5">
        <v>814517.4</v>
      </c>
      <c r="E8" s="5">
        <v>792882.19</v>
      </c>
      <c r="F8" s="5">
        <v>21635.21</v>
      </c>
      <c r="G8" s="163">
        <v>2.7289999999999998E-2</v>
      </c>
    </row>
    <row r="9" spans="1:7">
      <c r="A9" s="4"/>
      <c r="B9" s="4" t="s">
        <v>80</v>
      </c>
      <c r="C9" s="4"/>
      <c r="D9" s="5"/>
      <c r="E9" s="5"/>
      <c r="F9" s="5"/>
      <c r="G9" s="163"/>
    </row>
    <row r="10" spans="1:7">
      <c r="A10" s="4"/>
      <c r="B10" s="4"/>
      <c r="C10" s="4" t="s">
        <v>81</v>
      </c>
      <c r="D10" s="5">
        <v>36759.06</v>
      </c>
      <c r="E10" s="5">
        <v>39675.11</v>
      </c>
      <c r="F10" s="5">
        <v>-2916.05</v>
      </c>
      <c r="G10" s="163">
        <v>-7.3499999999999996E-2</v>
      </c>
    </row>
    <row r="11" spans="1:7">
      <c r="A11" s="4"/>
      <c r="B11" s="4"/>
      <c r="C11" s="4" t="s">
        <v>82</v>
      </c>
      <c r="D11" s="5">
        <v>22343</v>
      </c>
      <c r="E11" s="5">
        <v>20010.599999999999</v>
      </c>
      <c r="F11" s="5">
        <v>2332.4</v>
      </c>
      <c r="G11" s="163">
        <v>0.11656</v>
      </c>
    </row>
    <row r="12" spans="1:7">
      <c r="A12" s="4"/>
      <c r="B12" s="4"/>
      <c r="C12" s="4" t="s">
        <v>83</v>
      </c>
      <c r="D12" s="5">
        <v>11668.5</v>
      </c>
      <c r="E12" s="5">
        <v>10213.5</v>
      </c>
      <c r="F12" s="5">
        <v>1455</v>
      </c>
      <c r="G12" s="163">
        <v>0.14246</v>
      </c>
    </row>
    <row r="13" spans="1:7">
      <c r="A13" s="4"/>
      <c r="B13" s="4"/>
      <c r="C13" s="4" t="s">
        <v>84</v>
      </c>
      <c r="D13" s="5">
        <v>49060</v>
      </c>
      <c r="E13" s="5">
        <v>41000</v>
      </c>
      <c r="F13" s="5">
        <v>8060</v>
      </c>
      <c r="G13" s="163">
        <v>0.19658999999999999</v>
      </c>
    </row>
    <row r="14" spans="1:7" ht="15.75" thickBot="1">
      <c r="A14" s="4"/>
      <c r="B14" s="4"/>
      <c r="C14" s="4" t="s">
        <v>85</v>
      </c>
      <c r="D14" s="164">
        <v>2600</v>
      </c>
      <c r="E14" s="164">
        <v>3200</v>
      </c>
      <c r="F14" s="164">
        <v>-600</v>
      </c>
      <c r="G14" s="165">
        <v>-0.1875</v>
      </c>
    </row>
    <row r="15" spans="1:7">
      <c r="A15" s="4"/>
      <c r="B15" s="4" t="s">
        <v>87</v>
      </c>
      <c r="C15" s="4"/>
      <c r="D15" s="5">
        <v>122430.56</v>
      </c>
      <c r="E15" s="5">
        <v>114099.21</v>
      </c>
      <c r="F15" s="5">
        <v>8331.35</v>
      </c>
      <c r="G15" s="163">
        <v>7.3020000000000002E-2</v>
      </c>
    </row>
    <row r="16" spans="1:7">
      <c r="A16" s="4"/>
      <c r="B16" s="4" t="s">
        <v>88</v>
      </c>
      <c r="C16" s="4"/>
      <c r="D16" s="5"/>
      <c r="E16" s="5"/>
      <c r="F16" s="5"/>
      <c r="G16" s="163"/>
    </row>
    <row r="17" spans="1:7">
      <c r="A17" s="4"/>
      <c r="B17" s="4"/>
      <c r="C17" s="4" t="s">
        <v>89</v>
      </c>
      <c r="D17" s="5">
        <v>9550</v>
      </c>
      <c r="E17" s="5">
        <v>12400</v>
      </c>
      <c r="F17" s="5">
        <v>-2850</v>
      </c>
      <c r="G17" s="163">
        <v>-0.22983999999999999</v>
      </c>
    </row>
    <row r="18" spans="1:7">
      <c r="A18" s="4"/>
      <c r="B18" s="4"/>
      <c r="C18" s="4" t="s">
        <v>90</v>
      </c>
      <c r="D18" s="5">
        <v>950</v>
      </c>
      <c r="E18" s="5">
        <v>1015</v>
      </c>
      <c r="F18" s="5">
        <v>-65</v>
      </c>
      <c r="G18" s="163">
        <v>-6.404E-2</v>
      </c>
    </row>
    <row r="19" spans="1:7" ht="15.75" thickBot="1">
      <c r="A19" s="4"/>
      <c r="B19" s="4"/>
      <c r="C19" s="4" t="s">
        <v>91</v>
      </c>
      <c r="D19" s="164">
        <v>4000</v>
      </c>
      <c r="E19" s="164">
        <v>2175</v>
      </c>
      <c r="F19" s="164">
        <v>1825</v>
      </c>
      <c r="G19" s="165">
        <v>0.83908000000000005</v>
      </c>
    </row>
    <row r="20" spans="1:7">
      <c r="A20" s="4"/>
      <c r="B20" s="4" t="s">
        <v>92</v>
      </c>
      <c r="C20" s="4"/>
      <c r="D20" s="5">
        <v>14500</v>
      </c>
      <c r="E20" s="5">
        <v>15590</v>
      </c>
      <c r="F20" s="5">
        <v>-1090</v>
      </c>
      <c r="G20" s="163">
        <v>-6.9919999999999996E-2</v>
      </c>
    </row>
    <row r="21" spans="1:7">
      <c r="A21" s="4"/>
      <c r="B21" s="4" t="s">
        <v>93</v>
      </c>
      <c r="C21" s="4"/>
      <c r="D21" s="5"/>
      <c r="E21" s="5"/>
      <c r="F21" s="5"/>
      <c r="G21" s="163"/>
    </row>
    <row r="22" spans="1:7">
      <c r="A22" s="4"/>
      <c r="B22" s="4"/>
      <c r="C22" s="4" t="s">
        <v>96</v>
      </c>
      <c r="D22" s="5">
        <v>13456.17</v>
      </c>
      <c r="E22" s="5">
        <v>13214</v>
      </c>
      <c r="F22" s="5">
        <v>242.17</v>
      </c>
      <c r="G22" s="163">
        <v>1.8329999999999999E-2</v>
      </c>
    </row>
    <row r="23" spans="1:7">
      <c r="A23" s="4"/>
      <c r="B23" s="4"/>
      <c r="C23" s="4" t="s">
        <v>97</v>
      </c>
      <c r="D23" s="5">
        <v>1755</v>
      </c>
      <c r="E23" s="5">
        <v>2434.2199999999998</v>
      </c>
      <c r="F23" s="5">
        <v>-679.22</v>
      </c>
      <c r="G23" s="163">
        <v>-0.27903</v>
      </c>
    </row>
    <row r="24" spans="1:7">
      <c r="A24" s="4"/>
      <c r="B24" s="4"/>
      <c r="C24" s="4" t="s">
        <v>398</v>
      </c>
      <c r="D24" s="5">
        <v>2913.29</v>
      </c>
      <c r="E24" s="5">
        <v>1344.87</v>
      </c>
      <c r="F24" s="5">
        <v>1568.42</v>
      </c>
      <c r="G24" s="163">
        <v>1.16622</v>
      </c>
    </row>
    <row r="25" spans="1:7">
      <c r="A25" s="4"/>
      <c r="B25" s="4"/>
      <c r="C25" s="4" t="s">
        <v>98</v>
      </c>
      <c r="D25" s="5">
        <v>154</v>
      </c>
      <c r="E25" s="5">
        <v>160</v>
      </c>
      <c r="F25" s="5">
        <v>-6</v>
      </c>
      <c r="G25" s="163">
        <v>-3.7499999999999999E-2</v>
      </c>
    </row>
    <row r="26" spans="1:7">
      <c r="A26" s="4"/>
      <c r="B26" s="4"/>
      <c r="C26" s="4" t="s">
        <v>538</v>
      </c>
      <c r="D26" s="5">
        <v>1379</v>
      </c>
      <c r="E26" s="5">
        <v>1714</v>
      </c>
      <c r="F26" s="5">
        <v>-335</v>
      </c>
      <c r="G26" s="163">
        <v>-0.19545000000000001</v>
      </c>
    </row>
    <row r="27" spans="1:7">
      <c r="A27" s="4"/>
      <c r="B27" s="4"/>
      <c r="C27" s="4" t="s">
        <v>555</v>
      </c>
      <c r="D27" s="5">
        <v>8320.35</v>
      </c>
      <c r="E27" s="5">
        <v>8764.17</v>
      </c>
      <c r="F27" s="5">
        <v>-443.82</v>
      </c>
      <c r="G27" s="163">
        <v>-5.0639999999999998E-2</v>
      </c>
    </row>
    <row r="28" spans="1:7">
      <c r="A28" s="4"/>
      <c r="B28" s="4"/>
      <c r="C28" s="4" t="s">
        <v>556</v>
      </c>
      <c r="D28" s="5">
        <v>-395</v>
      </c>
      <c r="E28" s="5">
        <v>6087</v>
      </c>
      <c r="F28" s="5">
        <v>-6482</v>
      </c>
      <c r="G28" s="163">
        <v>-1.0648899999999999</v>
      </c>
    </row>
    <row r="29" spans="1:7">
      <c r="A29" s="4"/>
      <c r="B29" s="4"/>
      <c r="C29" s="4" t="s">
        <v>472</v>
      </c>
      <c r="D29" s="5">
        <v>1593.95</v>
      </c>
      <c r="E29" s="5">
        <v>1275.44</v>
      </c>
      <c r="F29" s="5">
        <v>318.51</v>
      </c>
      <c r="G29" s="163">
        <v>0.24973000000000001</v>
      </c>
    </row>
    <row r="30" spans="1:7">
      <c r="A30" s="4"/>
      <c r="B30" s="4"/>
      <c r="C30" s="4" t="s">
        <v>99</v>
      </c>
      <c r="D30" s="5">
        <v>2663</v>
      </c>
      <c r="E30" s="5">
        <v>3302</v>
      </c>
      <c r="F30" s="5">
        <v>-639</v>
      </c>
      <c r="G30" s="163">
        <v>-0.19352</v>
      </c>
    </row>
    <row r="31" spans="1:7">
      <c r="A31" s="4"/>
      <c r="B31" s="4"/>
      <c r="C31" s="4" t="s">
        <v>491</v>
      </c>
      <c r="D31" s="5">
        <v>2099</v>
      </c>
      <c r="E31" s="5">
        <v>2672.13</v>
      </c>
      <c r="F31" s="5">
        <v>-573.13</v>
      </c>
      <c r="G31" s="163">
        <v>-0.21448</v>
      </c>
    </row>
    <row r="32" spans="1:7">
      <c r="A32" s="4"/>
      <c r="B32" s="4"/>
      <c r="C32" s="4" t="s">
        <v>100</v>
      </c>
      <c r="D32" s="5">
        <v>32110.13</v>
      </c>
      <c r="E32" s="5">
        <v>29875.200000000001</v>
      </c>
      <c r="F32" s="5">
        <v>2234.9299999999998</v>
      </c>
      <c r="G32" s="163">
        <v>7.4810000000000001E-2</v>
      </c>
    </row>
    <row r="33" spans="1:10">
      <c r="A33" s="4"/>
      <c r="B33" s="4"/>
      <c r="C33" s="4" t="s">
        <v>539</v>
      </c>
      <c r="D33" s="5">
        <v>0</v>
      </c>
      <c r="E33" s="5">
        <v>-125</v>
      </c>
      <c r="F33" s="5">
        <v>125</v>
      </c>
      <c r="G33" s="163">
        <v>1</v>
      </c>
    </row>
    <row r="34" spans="1:10">
      <c r="A34" s="4"/>
      <c r="B34" s="4"/>
      <c r="C34" s="4" t="s">
        <v>400</v>
      </c>
      <c r="D34" s="5">
        <v>3590.98</v>
      </c>
      <c r="E34" s="5">
        <v>-286.58</v>
      </c>
      <c r="F34" s="5">
        <v>3877.56</v>
      </c>
      <c r="G34" s="163">
        <v>13.53046</v>
      </c>
    </row>
    <row r="35" spans="1:10" ht="15.75" thickBot="1">
      <c r="A35" s="4"/>
      <c r="B35" s="4"/>
      <c r="C35" s="4" t="s">
        <v>557</v>
      </c>
      <c r="D35" s="164">
        <v>0</v>
      </c>
      <c r="E35" s="164">
        <v>260</v>
      </c>
      <c r="F35" s="164">
        <v>-260</v>
      </c>
      <c r="G35" s="165">
        <v>-1</v>
      </c>
    </row>
    <row r="36" spans="1:10">
      <c r="A36" s="4"/>
      <c r="B36" s="4" t="s">
        <v>101</v>
      </c>
      <c r="C36" s="4"/>
      <c r="D36" s="5">
        <v>69639.87</v>
      </c>
      <c r="E36" s="5">
        <v>70691.45</v>
      </c>
      <c r="F36" s="5">
        <v>-1051.58</v>
      </c>
      <c r="G36" s="163">
        <v>-1.4880000000000001E-2</v>
      </c>
    </row>
    <row r="37" spans="1:10">
      <c r="A37" s="4"/>
      <c r="B37" s="4" t="s">
        <v>102</v>
      </c>
      <c r="C37" s="4"/>
      <c r="D37" s="5"/>
      <c r="E37" s="5"/>
      <c r="F37" s="5"/>
      <c r="G37" s="163"/>
    </row>
    <row r="38" spans="1:10">
      <c r="A38" s="4"/>
      <c r="B38" s="4"/>
      <c r="C38" s="4" t="s">
        <v>105</v>
      </c>
      <c r="D38" s="5">
        <v>2753.21</v>
      </c>
      <c r="E38" s="5">
        <v>2519</v>
      </c>
      <c r="F38" s="5">
        <v>234.21</v>
      </c>
      <c r="G38" s="163">
        <v>9.2979999999999993E-2</v>
      </c>
    </row>
    <row r="39" spans="1:10">
      <c r="A39" s="4"/>
      <c r="B39" s="4"/>
      <c r="C39" s="4" t="s">
        <v>106</v>
      </c>
      <c r="D39" s="5">
        <v>2240</v>
      </c>
      <c r="E39" s="5">
        <v>2220</v>
      </c>
      <c r="F39" s="5">
        <v>20</v>
      </c>
      <c r="G39" s="163">
        <v>9.0100000000000006E-3</v>
      </c>
    </row>
    <row r="40" spans="1:10" ht="15.75" thickBot="1">
      <c r="A40" s="4"/>
      <c r="B40" s="4"/>
      <c r="C40" s="4" t="s">
        <v>107</v>
      </c>
      <c r="D40" s="164">
        <v>36587.910000000003</v>
      </c>
      <c r="E40" s="164">
        <v>32814.76</v>
      </c>
      <c r="F40" s="164">
        <v>3773.15</v>
      </c>
      <c r="G40" s="165">
        <v>0.11498</v>
      </c>
    </row>
    <row r="41" spans="1:10">
      <c r="A41" s="4"/>
      <c r="B41" s="4" t="s">
        <v>108</v>
      </c>
      <c r="C41" s="4"/>
      <c r="D41" s="5">
        <v>41581.120000000003</v>
      </c>
      <c r="E41" s="5">
        <v>37553.760000000002</v>
      </c>
      <c r="F41" s="5">
        <v>4027.36</v>
      </c>
      <c r="G41" s="163">
        <v>0.10724</v>
      </c>
    </row>
    <row r="42" spans="1:10">
      <c r="A42" s="4"/>
      <c r="B42" s="4" t="s">
        <v>109</v>
      </c>
      <c r="C42" s="4"/>
      <c r="D42" s="5">
        <v>18227.53</v>
      </c>
      <c r="E42" s="5">
        <v>5929.55</v>
      </c>
      <c r="F42" s="5">
        <v>12297.98</v>
      </c>
      <c r="G42" s="163">
        <v>2.07402</v>
      </c>
    </row>
    <row r="43" spans="1:10" ht="15.75" thickBot="1">
      <c r="A43" s="4"/>
      <c r="B43" s="4" t="s">
        <v>110</v>
      </c>
      <c r="C43" s="4"/>
      <c r="D43" s="164">
        <v>2000</v>
      </c>
      <c r="E43" s="164">
        <v>1500</v>
      </c>
      <c r="F43" s="164">
        <v>500</v>
      </c>
      <c r="G43" s="165">
        <v>0.33333000000000002</v>
      </c>
    </row>
    <row r="44" spans="1:10">
      <c r="A44" s="4" t="s">
        <v>111</v>
      </c>
      <c r="B44" s="4"/>
      <c r="C44" s="4"/>
      <c r="D44" s="5">
        <v>1082896.48</v>
      </c>
      <c r="E44" s="5">
        <v>1038246.16</v>
      </c>
      <c r="F44" s="5">
        <v>44650.32</v>
      </c>
      <c r="G44" s="163">
        <v>4.301E-2</v>
      </c>
    </row>
    <row r="45" spans="1:10">
      <c r="A45" s="4" t="s">
        <v>133</v>
      </c>
      <c r="B45" s="4"/>
      <c r="C45" s="4"/>
      <c r="D45" s="5">
        <v>750</v>
      </c>
      <c r="E45" s="5">
        <v>2400</v>
      </c>
      <c r="F45" s="5">
        <v>-1650</v>
      </c>
      <c r="G45" s="163">
        <v>-0.6875</v>
      </c>
    </row>
    <row r="46" spans="1:10" ht="15.75" thickBot="1">
      <c r="A46" s="4" t="s">
        <v>380</v>
      </c>
      <c r="B46" s="4"/>
      <c r="C46" s="4"/>
      <c r="D46" s="5">
        <v>0</v>
      </c>
      <c r="E46" s="5">
        <v>750</v>
      </c>
      <c r="F46" s="5">
        <v>-750</v>
      </c>
      <c r="G46" s="163">
        <v>-1</v>
      </c>
    </row>
    <row r="47" spans="1:10" ht="15.75" thickBot="1">
      <c r="A47" s="158" t="s">
        <v>135</v>
      </c>
      <c r="B47" s="4"/>
      <c r="C47" s="4"/>
      <c r="D47" s="166">
        <v>1083646.48</v>
      </c>
      <c r="E47" s="166">
        <v>1041396.16</v>
      </c>
      <c r="F47" s="166">
        <v>42250.32</v>
      </c>
      <c r="G47" s="167">
        <v>4.0570000000000002E-2</v>
      </c>
      <c r="I47" s="85">
        <f>D47-D45-D46</f>
        <v>1082896.48</v>
      </c>
      <c r="J47" s="85">
        <f>E47-E45-E46</f>
        <v>1038246.16</v>
      </c>
    </row>
    <row r="48" spans="1:10">
      <c r="A48" s="158" t="s">
        <v>408</v>
      </c>
      <c r="B48" s="4"/>
      <c r="C48" s="4"/>
      <c r="D48" s="5">
        <v>1083646.48</v>
      </c>
      <c r="E48" s="5">
        <v>1041396.16</v>
      </c>
      <c r="F48" s="5">
        <v>42250.32</v>
      </c>
      <c r="G48" s="163">
        <v>4.0570000000000002E-2</v>
      </c>
      <c r="I48" s="87">
        <f>I47-'2025 - 2026'!G18</f>
        <v>-38930.510000000009</v>
      </c>
      <c r="J48" s="87">
        <f>J47-'2025 - 2026'!H18</f>
        <v>-88134.160000000033</v>
      </c>
    </row>
    <row r="49" spans="1:7" ht="9" customHeight="1">
      <c r="A49" s="158"/>
      <c r="B49" s="4"/>
      <c r="C49" s="4"/>
      <c r="D49" s="5"/>
      <c r="E49" s="5"/>
      <c r="F49" s="5"/>
      <c r="G49" s="163"/>
    </row>
    <row r="50" spans="1:7">
      <c r="A50" s="158" t="s">
        <v>136</v>
      </c>
      <c r="B50" s="4"/>
      <c r="C50" s="4"/>
      <c r="D50" s="5"/>
      <c r="E50" s="5"/>
      <c r="F50" s="5"/>
      <c r="G50" s="163"/>
    </row>
    <row r="51" spans="1:7">
      <c r="A51" s="4" t="s">
        <v>137</v>
      </c>
      <c r="B51" s="4"/>
      <c r="C51" s="4"/>
      <c r="D51" s="5"/>
      <c r="E51" s="5"/>
      <c r="F51" s="5"/>
      <c r="G51" s="163"/>
    </row>
    <row r="52" spans="1:7">
      <c r="A52" s="4"/>
      <c r="B52" s="4" t="s">
        <v>138</v>
      </c>
      <c r="C52" s="4"/>
      <c r="D52" s="5"/>
      <c r="E52" s="5"/>
      <c r="F52" s="5"/>
      <c r="G52" s="163"/>
    </row>
    <row r="53" spans="1:7">
      <c r="A53" s="4"/>
      <c r="B53" s="4"/>
      <c r="C53" s="4" t="s">
        <v>492</v>
      </c>
      <c r="D53" s="5">
        <v>1000</v>
      </c>
      <c r="E53" s="5">
        <v>1000</v>
      </c>
      <c r="F53" s="5">
        <v>0</v>
      </c>
      <c r="G53" s="163">
        <v>0</v>
      </c>
    </row>
    <row r="54" spans="1:7" ht="15.75" thickBot="1">
      <c r="A54" s="4"/>
      <c r="B54" s="4"/>
      <c r="C54" s="4" t="s">
        <v>493</v>
      </c>
      <c r="D54" s="164">
        <v>119499.96</v>
      </c>
      <c r="E54" s="164">
        <v>110499.96</v>
      </c>
      <c r="F54" s="164">
        <v>9000</v>
      </c>
      <c r="G54" s="165">
        <v>8.1449999999999995E-2</v>
      </c>
    </row>
    <row r="55" spans="1:7">
      <c r="A55" s="4"/>
      <c r="B55" s="4" t="s">
        <v>494</v>
      </c>
      <c r="C55" s="4"/>
      <c r="D55" s="5">
        <v>120499.96</v>
      </c>
      <c r="E55" s="5">
        <v>111499.96</v>
      </c>
      <c r="F55" s="5">
        <v>9000</v>
      </c>
      <c r="G55" s="163">
        <v>8.072E-2</v>
      </c>
    </row>
    <row r="56" spans="1:7">
      <c r="A56" s="4"/>
      <c r="B56" s="4" t="s">
        <v>139</v>
      </c>
      <c r="C56" s="4"/>
      <c r="D56" s="5"/>
      <c r="E56" s="5"/>
      <c r="F56" s="5"/>
      <c r="G56" s="163"/>
    </row>
    <row r="57" spans="1:7">
      <c r="A57" s="4"/>
      <c r="B57" s="4"/>
      <c r="C57" s="4" t="s">
        <v>140</v>
      </c>
      <c r="D57" s="5">
        <v>40161.339999999997</v>
      </c>
      <c r="E57" s="5">
        <v>35951.31</v>
      </c>
      <c r="F57" s="5">
        <v>4210.03</v>
      </c>
      <c r="G57" s="163">
        <v>0.1171</v>
      </c>
    </row>
    <row r="58" spans="1:7" ht="15.75" thickBot="1">
      <c r="A58" s="4"/>
      <c r="B58" s="4"/>
      <c r="C58" s="4" t="s">
        <v>141</v>
      </c>
      <c r="D58" s="164">
        <v>10720</v>
      </c>
      <c r="E58" s="164">
        <v>1420</v>
      </c>
      <c r="F58" s="164">
        <v>9300</v>
      </c>
      <c r="G58" s="165">
        <v>6.5492999999999997</v>
      </c>
    </row>
    <row r="59" spans="1:7">
      <c r="A59" s="4"/>
      <c r="B59" s="4" t="s">
        <v>143</v>
      </c>
      <c r="C59" s="4"/>
      <c r="D59" s="5">
        <v>50881.34</v>
      </c>
      <c r="E59" s="5">
        <v>37371.31</v>
      </c>
      <c r="F59" s="5">
        <v>13510.03</v>
      </c>
      <c r="G59" s="163">
        <v>0.36151</v>
      </c>
    </row>
    <row r="60" spans="1:7">
      <c r="A60" s="4"/>
      <c r="B60" s="4" t="s">
        <v>144</v>
      </c>
      <c r="C60" s="4"/>
      <c r="D60" s="5">
        <v>259937.33</v>
      </c>
      <c r="E60" s="5">
        <v>269662.57</v>
      </c>
      <c r="F60" s="5">
        <v>-9725.24</v>
      </c>
      <c r="G60" s="163">
        <v>-3.6060000000000002E-2</v>
      </c>
    </row>
    <row r="61" spans="1:7">
      <c r="A61" s="4"/>
      <c r="B61" s="4" t="s">
        <v>145</v>
      </c>
      <c r="C61" s="4"/>
      <c r="D61" s="5"/>
      <c r="E61" s="5"/>
      <c r="F61" s="5"/>
      <c r="G61" s="163"/>
    </row>
    <row r="62" spans="1:7">
      <c r="A62" s="4"/>
      <c r="B62" s="4"/>
      <c r="C62" s="4" t="s">
        <v>495</v>
      </c>
      <c r="D62" s="5">
        <v>20548.32</v>
      </c>
      <c r="E62" s="5">
        <v>21296.92</v>
      </c>
      <c r="F62" s="5">
        <v>-748.6</v>
      </c>
      <c r="G62" s="163">
        <v>-3.5150000000000001E-2</v>
      </c>
    </row>
    <row r="63" spans="1:7">
      <c r="A63" s="4"/>
      <c r="B63" s="4"/>
      <c r="C63" s="4" t="s">
        <v>496</v>
      </c>
      <c r="D63" s="5">
        <v>720</v>
      </c>
      <c r="E63" s="5">
        <v>850</v>
      </c>
      <c r="F63" s="5">
        <v>-130</v>
      </c>
      <c r="G63" s="163">
        <v>-0.15293999999999999</v>
      </c>
    </row>
    <row r="64" spans="1:7">
      <c r="A64" s="4"/>
      <c r="B64" s="4"/>
      <c r="C64" s="4" t="s">
        <v>497</v>
      </c>
      <c r="D64" s="5">
        <v>47506.54</v>
      </c>
      <c r="E64" s="5">
        <v>46334.1</v>
      </c>
      <c r="F64" s="5">
        <v>1172.44</v>
      </c>
      <c r="G64" s="163">
        <v>2.53E-2</v>
      </c>
    </row>
    <row r="65" spans="1:7">
      <c r="A65" s="4"/>
      <c r="B65" s="4"/>
      <c r="C65" s="4" t="s">
        <v>498</v>
      </c>
      <c r="D65" s="5">
        <v>1571</v>
      </c>
      <c r="E65" s="5">
        <v>852.54</v>
      </c>
      <c r="F65" s="5">
        <v>718.46</v>
      </c>
      <c r="G65" s="163">
        <v>0.84272999999999998</v>
      </c>
    </row>
    <row r="66" spans="1:7">
      <c r="A66" s="4"/>
      <c r="B66" s="4"/>
      <c r="C66" s="4" t="s">
        <v>499</v>
      </c>
      <c r="D66" s="5">
        <v>1498</v>
      </c>
      <c r="E66" s="5">
        <v>1370.72</v>
      </c>
      <c r="F66" s="5">
        <v>127.28</v>
      </c>
      <c r="G66" s="163">
        <v>9.2859999999999998E-2</v>
      </c>
    </row>
    <row r="67" spans="1:7">
      <c r="A67" s="4"/>
      <c r="B67" s="4"/>
      <c r="C67" s="4" t="s">
        <v>500</v>
      </c>
      <c r="D67" s="5">
        <v>25588.04</v>
      </c>
      <c r="E67" s="5">
        <v>23398.959999999999</v>
      </c>
      <c r="F67" s="5">
        <v>2189.08</v>
      </c>
      <c r="G67" s="163">
        <v>9.3549999999999994E-2</v>
      </c>
    </row>
    <row r="68" spans="1:7">
      <c r="A68" s="4"/>
      <c r="B68" s="4"/>
      <c r="C68" s="4" t="s">
        <v>501</v>
      </c>
      <c r="D68" s="5"/>
      <c r="E68" s="5"/>
      <c r="F68" s="5"/>
      <c r="G68" s="163"/>
    </row>
    <row r="69" spans="1:7">
      <c r="A69" s="4"/>
      <c r="B69" s="4"/>
      <c r="C69" s="157" t="s">
        <v>502</v>
      </c>
      <c r="D69" s="5">
        <v>11099.86</v>
      </c>
      <c r="E69" s="5">
        <v>10970.21</v>
      </c>
      <c r="F69" s="5">
        <v>129.65</v>
      </c>
      <c r="G69" s="163">
        <v>1.1820000000000001E-2</v>
      </c>
    </row>
    <row r="70" spans="1:7" ht="15.75" thickBot="1">
      <c r="A70" s="4"/>
      <c r="B70" s="4"/>
      <c r="C70" s="157" t="s">
        <v>503</v>
      </c>
      <c r="D70" s="164">
        <v>8694.14</v>
      </c>
      <c r="E70" s="164">
        <v>8532.2900000000009</v>
      </c>
      <c r="F70" s="164">
        <v>161.85</v>
      </c>
      <c r="G70" s="165">
        <v>1.8970000000000001E-2</v>
      </c>
    </row>
    <row r="71" spans="1:7">
      <c r="A71" s="4"/>
      <c r="B71" s="4"/>
      <c r="C71" s="4" t="s">
        <v>504</v>
      </c>
      <c r="D71" s="5">
        <v>19794</v>
      </c>
      <c r="E71" s="5">
        <v>19502.5</v>
      </c>
      <c r="F71" s="5">
        <v>291.5</v>
      </c>
      <c r="G71" s="163">
        <v>1.495E-2</v>
      </c>
    </row>
    <row r="72" spans="1:7">
      <c r="A72" s="4"/>
      <c r="B72" s="4"/>
      <c r="C72" s="4" t="s">
        <v>505</v>
      </c>
      <c r="D72" s="5"/>
      <c r="E72" s="5"/>
      <c r="F72" s="5"/>
      <c r="G72" s="163"/>
    </row>
    <row r="73" spans="1:7">
      <c r="A73" s="4"/>
      <c r="B73" s="4"/>
      <c r="C73" s="157" t="s">
        <v>506</v>
      </c>
      <c r="D73" s="5">
        <v>-229.87</v>
      </c>
      <c r="E73" s="5">
        <v>-56</v>
      </c>
      <c r="F73" s="5">
        <v>-173.87</v>
      </c>
      <c r="G73" s="163">
        <v>-3.1048200000000001</v>
      </c>
    </row>
    <row r="74" spans="1:7" ht="15.75" thickBot="1">
      <c r="A74" s="4"/>
      <c r="B74" s="4"/>
      <c r="C74" s="157" t="s">
        <v>507</v>
      </c>
      <c r="D74" s="164">
        <v>1248.95</v>
      </c>
      <c r="E74" s="164">
        <v>985.81</v>
      </c>
      <c r="F74" s="164">
        <v>263.14</v>
      </c>
      <c r="G74" s="165">
        <v>0.26693</v>
      </c>
    </row>
    <row r="75" spans="1:7">
      <c r="A75" s="4"/>
      <c r="B75" s="4"/>
      <c r="C75" s="4" t="s">
        <v>508</v>
      </c>
      <c r="D75" s="5">
        <v>1019.08</v>
      </c>
      <c r="E75" s="5">
        <v>929.81</v>
      </c>
      <c r="F75" s="5">
        <v>89.27</v>
      </c>
      <c r="G75" s="163">
        <v>9.6009999999999998E-2</v>
      </c>
    </row>
    <row r="76" spans="1:7" ht="15.75" thickBot="1">
      <c r="A76" s="4"/>
      <c r="B76" s="4"/>
      <c r="C76" s="4" t="s">
        <v>411</v>
      </c>
      <c r="D76" s="164">
        <v>863.32</v>
      </c>
      <c r="E76" s="164">
        <v>853.21</v>
      </c>
      <c r="F76" s="164">
        <v>10.11</v>
      </c>
      <c r="G76" s="165">
        <v>1.1849999999999999E-2</v>
      </c>
    </row>
    <row r="77" spans="1:7">
      <c r="A77" s="4"/>
      <c r="B77" s="4" t="s">
        <v>155</v>
      </c>
      <c r="C77" s="4"/>
      <c r="D77" s="5">
        <v>119108.3</v>
      </c>
      <c r="E77" s="5">
        <v>115388.76</v>
      </c>
      <c r="F77" s="5">
        <v>3719.54</v>
      </c>
      <c r="G77" s="163">
        <v>3.2230000000000002E-2</v>
      </c>
    </row>
    <row r="78" spans="1:7">
      <c r="A78" s="4"/>
      <c r="B78" s="4" t="s">
        <v>156</v>
      </c>
      <c r="C78" s="4"/>
      <c r="D78" s="5">
        <v>60612</v>
      </c>
      <c r="E78" s="5">
        <v>54681.96</v>
      </c>
      <c r="F78" s="5">
        <v>5930.04</v>
      </c>
      <c r="G78" s="163">
        <v>0.10845</v>
      </c>
    </row>
    <row r="79" spans="1:7">
      <c r="A79" s="4"/>
      <c r="B79" s="4" t="s">
        <v>157</v>
      </c>
      <c r="C79" s="4"/>
      <c r="D79" s="5"/>
      <c r="E79" s="5"/>
      <c r="F79" s="5"/>
      <c r="G79" s="163"/>
    </row>
    <row r="80" spans="1:7">
      <c r="A80" s="4"/>
      <c r="B80" s="4"/>
      <c r="C80" s="4" t="s">
        <v>509</v>
      </c>
      <c r="D80" s="5">
        <v>14799.35</v>
      </c>
      <c r="E80" s="5">
        <v>12877.02</v>
      </c>
      <c r="F80" s="5">
        <v>1922.33</v>
      </c>
      <c r="G80" s="163">
        <v>0.14928</v>
      </c>
    </row>
    <row r="81" spans="1:7">
      <c r="A81" s="4"/>
      <c r="B81" s="4"/>
      <c r="C81" s="4" t="s">
        <v>412</v>
      </c>
      <c r="D81" s="5">
        <v>425</v>
      </c>
      <c r="E81" s="5">
        <v>325</v>
      </c>
      <c r="F81" s="5">
        <v>100</v>
      </c>
      <c r="G81" s="163">
        <v>0.30769000000000002</v>
      </c>
    </row>
    <row r="82" spans="1:7">
      <c r="A82" s="4"/>
      <c r="B82" s="4"/>
      <c r="C82" s="4" t="s">
        <v>510</v>
      </c>
      <c r="D82" s="5">
        <v>25428.39</v>
      </c>
      <c r="E82" s="5">
        <v>23116.97</v>
      </c>
      <c r="F82" s="5">
        <v>2311.42</v>
      </c>
      <c r="G82" s="163">
        <v>9.9989999999999996E-2</v>
      </c>
    </row>
    <row r="83" spans="1:7">
      <c r="A83" s="4"/>
      <c r="B83" s="4"/>
      <c r="C83" s="4" t="s">
        <v>414</v>
      </c>
      <c r="D83" s="5">
        <v>450</v>
      </c>
      <c r="E83" s="5">
        <v>660</v>
      </c>
      <c r="F83" s="5">
        <v>-210</v>
      </c>
      <c r="G83" s="163">
        <v>-0.31818000000000002</v>
      </c>
    </row>
    <row r="84" spans="1:7">
      <c r="A84" s="4"/>
      <c r="B84" s="4"/>
      <c r="C84" s="4" t="s">
        <v>540</v>
      </c>
      <c r="D84" s="5">
        <v>4025</v>
      </c>
      <c r="E84" s="5">
        <v>1470</v>
      </c>
      <c r="F84" s="5">
        <v>2555</v>
      </c>
      <c r="G84" s="163">
        <v>1.7381</v>
      </c>
    </row>
    <row r="85" spans="1:7">
      <c r="A85" s="4"/>
      <c r="B85" s="4"/>
      <c r="C85" s="4" t="s">
        <v>541</v>
      </c>
      <c r="D85" s="5">
        <v>1534.25</v>
      </c>
      <c r="E85" s="5">
        <v>1875</v>
      </c>
      <c r="F85" s="5">
        <v>-340.75</v>
      </c>
      <c r="G85" s="163">
        <v>-0.18173</v>
      </c>
    </row>
    <row r="86" spans="1:7">
      <c r="A86" s="4"/>
      <c r="B86" s="4"/>
      <c r="C86" s="4" t="s">
        <v>415</v>
      </c>
      <c r="D86" s="5">
        <v>2690.84</v>
      </c>
      <c r="E86" s="5">
        <v>1313.98</v>
      </c>
      <c r="F86" s="5">
        <v>1376.86</v>
      </c>
      <c r="G86" s="163">
        <v>1.0478499999999999</v>
      </c>
    </row>
    <row r="87" spans="1:7">
      <c r="A87" s="4"/>
      <c r="B87" s="4"/>
      <c r="C87" s="4" t="s">
        <v>159</v>
      </c>
      <c r="D87" s="5">
        <v>985.7</v>
      </c>
      <c r="E87" s="5">
        <v>749.2</v>
      </c>
      <c r="F87" s="5">
        <v>236.5</v>
      </c>
      <c r="G87" s="163">
        <v>0.31567000000000001</v>
      </c>
    </row>
    <row r="88" spans="1:7">
      <c r="A88" s="4"/>
      <c r="B88" s="4"/>
      <c r="C88" s="4" t="s">
        <v>160</v>
      </c>
      <c r="D88" s="5">
        <v>11958.62</v>
      </c>
      <c r="E88" s="5">
        <v>9996.0499999999993</v>
      </c>
      <c r="F88" s="5">
        <v>1962.57</v>
      </c>
      <c r="G88" s="163">
        <v>0.19633</v>
      </c>
    </row>
    <row r="89" spans="1:7">
      <c r="A89" s="4"/>
      <c r="B89" s="4"/>
      <c r="C89" s="4" t="s">
        <v>161</v>
      </c>
      <c r="D89" s="5">
        <v>8130.2</v>
      </c>
      <c r="E89" s="5">
        <v>8196.1299999999992</v>
      </c>
      <c r="F89" s="5">
        <v>-65.930000000000007</v>
      </c>
      <c r="G89" s="163">
        <v>-8.0400000000000003E-3</v>
      </c>
    </row>
    <row r="90" spans="1:7">
      <c r="A90" s="4"/>
      <c r="B90" s="4"/>
      <c r="C90" s="4" t="s">
        <v>416</v>
      </c>
      <c r="D90" s="5">
        <v>14566.53</v>
      </c>
      <c r="E90" s="5">
        <v>13299.69</v>
      </c>
      <c r="F90" s="5">
        <v>1266.8399999999999</v>
      </c>
      <c r="G90" s="163">
        <v>9.5250000000000001E-2</v>
      </c>
    </row>
    <row r="91" spans="1:7">
      <c r="A91" s="4"/>
      <c r="B91" s="4"/>
      <c r="C91" s="4" t="s">
        <v>163</v>
      </c>
      <c r="D91" s="5">
        <v>2129.71</v>
      </c>
      <c r="E91" s="5">
        <v>668.19</v>
      </c>
      <c r="F91" s="5">
        <v>1461.52</v>
      </c>
      <c r="G91" s="163">
        <v>2.1872799999999999</v>
      </c>
    </row>
    <row r="92" spans="1:7">
      <c r="A92" s="4"/>
      <c r="B92" s="4"/>
      <c r="C92" s="4" t="s">
        <v>164</v>
      </c>
      <c r="D92" s="5">
        <v>6022.61</v>
      </c>
      <c r="E92" s="5">
        <v>1888.9</v>
      </c>
      <c r="F92" s="5">
        <v>4133.71</v>
      </c>
      <c r="G92" s="163">
        <v>2.1884199999999998</v>
      </c>
    </row>
    <row r="93" spans="1:7" ht="15.75" thickBot="1">
      <c r="A93" s="4"/>
      <c r="B93" s="4"/>
      <c r="C93" s="4" t="s">
        <v>165</v>
      </c>
      <c r="D93" s="164">
        <v>35</v>
      </c>
      <c r="E93" s="164">
        <v>0</v>
      </c>
      <c r="F93" s="164">
        <v>35</v>
      </c>
      <c r="G93" s="165">
        <v>1</v>
      </c>
    </row>
    <row r="94" spans="1:7">
      <c r="A94" s="4"/>
      <c r="B94" s="4" t="s">
        <v>166</v>
      </c>
      <c r="C94" s="4"/>
      <c r="D94" s="5">
        <v>93181.2</v>
      </c>
      <c r="E94" s="5">
        <v>76436.13</v>
      </c>
      <c r="F94" s="5">
        <v>16745.07</v>
      </c>
      <c r="G94" s="163">
        <v>0.21906999999999999</v>
      </c>
    </row>
    <row r="95" spans="1:7">
      <c r="A95" s="4"/>
      <c r="B95" s="4" t="s">
        <v>167</v>
      </c>
      <c r="C95" s="4"/>
      <c r="D95" s="5"/>
      <c r="E95" s="5"/>
      <c r="F95" s="5"/>
      <c r="G95" s="163"/>
    </row>
    <row r="96" spans="1:7">
      <c r="A96" s="4"/>
      <c r="B96" s="4"/>
      <c r="C96" s="4" t="s">
        <v>542</v>
      </c>
      <c r="D96" s="5">
        <v>6810.96</v>
      </c>
      <c r="E96" s="5">
        <v>6031.21</v>
      </c>
      <c r="F96" s="5">
        <v>779.75</v>
      </c>
      <c r="G96" s="163">
        <v>0.12928999999999999</v>
      </c>
    </row>
    <row r="97" spans="1:7">
      <c r="A97" s="4"/>
      <c r="B97" s="4"/>
      <c r="C97" s="4" t="s">
        <v>558</v>
      </c>
      <c r="D97" s="5">
        <v>334.25</v>
      </c>
      <c r="E97" s="5">
        <v>162.22</v>
      </c>
      <c r="F97" s="5">
        <v>172.03</v>
      </c>
      <c r="G97" s="163">
        <v>1.06047</v>
      </c>
    </row>
    <row r="98" spans="1:7" ht="15.75" thickBot="1">
      <c r="A98" s="4"/>
      <c r="B98" s="4"/>
      <c r="C98" s="4" t="s">
        <v>543</v>
      </c>
      <c r="D98" s="164">
        <v>1944.67</v>
      </c>
      <c r="E98" s="164">
        <v>5600.68</v>
      </c>
      <c r="F98" s="164">
        <v>-3656.01</v>
      </c>
      <c r="G98" s="165">
        <v>-0.65278000000000003</v>
      </c>
    </row>
    <row r="99" spans="1:7">
      <c r="A99" s="4"/>
      <c r="B99" s="4" t="s">
        <v>544</v>
      </c>
      <c r="C99" s="4"/>
      <c r="D99" s="5">
        <v>9089.8799999999992</v>
      </c>
      <c r="E99" s="5">
        <v>11794.11</v>
      </c>
      <c r="F99" s="5">
        <v>-2704.23</v>
      </c>
      <c r="G99" s="163">
        <v>-0.22928999999999999</v>
      </c>
    </row>
    <row r="100" spans="1:7">
      <c r="A100" s="4"/>
      <c r="B100" s="4" t="s">
        <v>168</v>
      </c>
      <c r="C100" s="4"/>
      <c r="D100" s="5">
        <v>454.64</v>
      </c>
      <c r="E100" s="5">
        <v>1388.66</v>
      </c>
      <c r="F100" s="5">
        <v>-934.02</v>
      </c>
      <c r="G100" s="163">
        <v>-0.67261000000000004</v>
      </c>
    </row>
    <row r="101" spans="1:7">
      <c r="A101" s="4"/>
      <c r="B101" s="4" t="s">
        <v>169</v>
      </c>
      <c r="C101" s="4"/>
      <c r="D101" s="5"/>
      <c r="E101" s="5"/>
      <c r="F101" s="5"/>
      <c r="G101" s="163"/>
    </row>
    <row r="102" spans="1:7">
      <c r="A102" s="4"/>
      <c r="B102" s="4"/>
      <c r="C102" s="4" t="s">
        <v>170</v>
      </c>
      <c r="D102" s="5">
        <v>7152.92</v>
      </c>
      <c r="E102" s="5">
        <v>7373.03</v>
      </c>
      <c r="F102" s="5">
        <v>-220.11</v>
      </c>
      <c r="G102" s="163">
        <v>-2.9850000000000002E-2</v>
      </c>
    </row>
    <row r="103" spans="1:7">
      <c r="A103" s="4"/>
      <c r="B103" s="4"/>
      <c r="C103" s="4" t="s">
        <v>171</v>
      </c>
      <c r="D103" s="5">
        <v>4228.87</v>
      </c>
      <c r="E103" s="5">
        <v>4061.72</v>
      </c>
      <c r="F103" s="5">
        <v>167.15</v>
      </c>
      <c r="G103" s="163">
        <v>4.1149999999999999E-2</v>
      </c>
    </row>
    <row r="104" spans="1:7">
      <c r="A104" s="4"/>
      <c r="B104" s="4"/>
      <c r="C104" s="4" t="s">
        <v>172</v>
      </c>
      <c r="D104" s="5">
        <v>875.95</v>
      </c>
      <c r="E104" s="5">
        <v>594.9</v>
      </c>
      <c r="F104" s="5">
        <v>281.05</v>
      </c>
      <c r="G104" s="163">
        <v>0.47243000000000002</v>
      </c>
    </row>
    <row r="105" spans="1:7" ht="15.75" thickBot="1">
      <c r="A105" s="4"/>
      <c r="B105" s="4"/>
      <c r="C105" s="4" t="s">
        <v>173</v>
      </c>
      <c r="D105" s="164">
        <v>3176.55</v>
      </c>
      <c r="E105" s="164">
        <v>4395.95</v>
      </c>
      <c r="F105" s="164">
        <v>-1219.4000000000001</v>
      </c>
      <c r="G105" s="165">
        <v>-0.27739000000000003</v>
      </c>
    </row>
    <row r="106" spans="1:7">
      <c r="A106" s="4"/>
      <c r="B106" s="4" t="s">
        <v>174</v>
      </c>
      <c r="C106" s="4"/>
      <c r="D106" s="5">
        <v>15434.29</v>
      </c>
      <c r="E106" s="5">
        <v>16425.599999999999</v>
      </c>
      <c r="F106" s="5">
        <v>-991.31</v>
      </c>
      <c r="G106" s="163">
        <v>-6.0350000000000001E-2</v>
      </c>
    </row>
    <row r="107" spans="1:7">
      <c r="A107" s="4"/>
      <c r="B107" s="4" t="s">
        <v>175</v>
      </c>
      <c r="C107" s="4"/>
      <c r="D107" s="5"/>
      <c r="E107" s="5"/>
      <c r="F107" s="5"/>
      <c r="G107" s="163"/>
    </row>
    <row r="108" spans="1:7">
      <c r="A108" s="4"/>
      <c r="B108" s="4"/>
      <c r="C108" s="4" t="s">
        <v>176</v>
      </c>
      <c r="D108" s="5">
        <v>4460.92</v>
      </c>
      <c r="E108" s="5">
        <v>2405.15</v>
      </c>
      <c r="F108" s="5">
        <v>2055.77</v>
      </c>
      <c r="G108" s="163">
        <v>0.85474000000000006</v>
      </c>
    </row>
    <row r="109" spans="1:7">
      <c r="A109" s="4"/>
      <c r="B109" s="4"/>
      <c r="C109" s="4" t="s">
        <v>178</v>
      </c>
      <c r="D109" s="5">
        <v>1249.8399999999999</v>
      </c>
      <c r="E109" s="5">
        <v>978.15</v>
      </c>
      <c r="F109" s="5">
        <v>271.69</v>
      </c>
      <c r="G109" s="163">
        <v>0.27776000000000001</v>
      </c>
    </row>
    <row r="110" spans="1:7">
      <c r="A110" s="4"/>
      <c r="B110" s="4"/>
      <c r="C110" s="4" t="s">
        <v>381</v>
      </c>
      <c r="D110" s="5">
        <v>7978.04</v>
      </c>
      <c r="E110" s="5">
        <v>6416.84</v>
      </c>
      <c r="F110" s="5">
        <v>1561.2</v>
      </c>
      <c r="G110" s="163">
        <v>0.24329999999999999</v>
      </c>
    </row>
    <row r="111" spans="1:7">
      <c r="A111" s="4"/>
      <c r="B111" s="4"/>
      <c r="C111" s="4" t="s">
        <v>179</v>
      </c>
      <c r="D111" s="5">
        <v>6404.32</v>
      </c>
      <c r="E111" s="5">
        <v>6637.68</v>
      </c>
      <c r="F111" s="5">
        <v>-233.36</v>
      </c>
      <c r="G111" s="163">
        <v>-3.5159999999999997E-2</v>
      </c>
    </row>
    <row r="112" spans="1:7">
      <c r="A112" s="4"/>
      <c r="B112" s="4"/>
      <c r="C112" s="4" t="s">
        <v>382</v>
      </c>
      <c r="D112" s="5">
        <v>7367.26</v>
      </c>
      <c r="E112" s="5">
        <v>5955.27</v>
      </c>
      <c r="F112" s="5">
        <v>1411.99</v>
      </c>
      <c r="G112" s="163">
        <v>0.23710000000000001</v>
      </c>
    </row>
    <row r="113" spans="1:7" ht="15.75" thickBot="1">
      <c r="A113" s="4"/>
      <c r="B113" s="4"/>
      <c r="C113" s="4" t="s">
        <v>180</v>
      </c>
      <c r="D113" s="164">
        <v>17886.03</v>
      </c>
      <c r="E113" s="164">
        <v>0</v>
      </c>
      <c r="F113" s="164">
        <v>17886.03</v>
      </c>
      <c r="G113" s="165">
        <v>1</v>
      </c>
    </row>
    <row r="114" spans="1:7">
      <c r="A114" s="4"/>
      <c r="B114" s="4" t="s">
        <v>181</v>
      </c>
      <c r="C114" s="4"/>
      <c r="D114" s="5">
        <v>45346.41</v>
      </c>
      <c r="E114" s="5">
        <v>22393.09</v>
      </c>
      <c r="F114" s="5">
        <v>22953.32</v>
      </c>
      <c r="G114" s="163">
        <v>1.02502</v>
      </c>
    </row>
    <row r="115" spans="1:7">
      <c r="A115" s="4"/>
      <c r="B115" s="4" t="s">
        <v>182</v>
      </c>
      <c r="C115" s="4"/>
      <c r="D115" s="5"/>
      <c r="E115" s="5"/>
      <c r="F115" s="5"/>
      <c r="G115" s="163"/>
    </row>
    <row r="116" spans="1:7">
      <c r="A116" s="4"/>
      <c r="B116" s="4"/>
      <c r="C116" s="4" t="s">
        <v>183</v>
      </c>
      <c r="D116" s="5">
        <v>9946.48</v>
      </c>
      <c r="E116" s="5">
        <v>1881.23</v>
      </c>
      <c r="F116" s="5">
        <v>8065.25</v>
      </c>
      <c r="G116" s="163">
        <v>4.2872199999999996</v>
      </c>
    </row>
    <row r="117" spans="1:7">
      <c r="A117" s="4"/>
      <c r="B117" s="4"/>
      <c r="C117" s="4" t="s">
        <v>184</v>
      </c>
      <c r="D117" s="5">
        <v>0</v>
      </c>
      <c r="E117" s="5">
        <v>142.6</v>
      </c>
      <c r="F117" s="5">
        <v>-142.6</v>
      </c>
      <c r="G117" s="163">
        <v>-1</v>
      </c>
    </row>
    <row r="118" spans="1:7">
      <c r="A118" s="4"/>
      <c r="B118" s="4"/>
      <c r="C118" s="4" t="s">
        <v>186</v>
      </c>
      <c r="D118" s="5">
        <v>967.95</v>
      </c>
      <c r="E118" s="5">
        <v>1029.48</v>
      </c>
      <c r="F118" s="5">
        <v>-61.53</v>
      </c>
      <c r="G118" s="163">
        <v>-5.9769999999999997E-2</v>
      </c>
    </row>
    <row r="119" spans="1:7">
      <c r="A119" s="4"/>
      <c r="B119" s="4"/>
      <c r="C119" s="4" t="s">
        <v>187</v>
      </c>
      <c r="D119" s="5">
        <v>1724.1</v>
      </c>
      <c r="E119" s="5">
        <v>3398.88</v>
      </c>
      <c r="F119" s="5">
        <v>-1674.78</v>
      </c>
      <c r="G119" s="163">
        <v>-0.49274000000000001</v>
      </c>
    </row>
    <row r="120" spans="1:7">
      <c r="A120" s="4"/>
      <c r="B120" s="4"/>
      <c r="C120" s="4" t="s">
        <v>417</v>
      </c>
      <c r="D120" s="5">
        <v>0</v>
      </c>
      <c r="E120" s="5">
        <v>271.39</v>
      </c>
      <c r="F120" s="5">
        <v>-271.39</v>
      </c>
      <c r="G120" s="163">
        <v>-1</v>
      </c>
    </row>
    <row r="121" spans="1:7" ht="15.75" thickBot="1">
      <c r="A121" s="4"/>
      <c r="B121" s="4"/>
      <c r="C121" s="4" t="s">
        <v>189</v>
      </c>
      <c r="D121" s="164">
        <v>265.47000000000003</v>
      </c>
      <c r="E121" s="164">
        <v>0</v>
      </c>
      <c r="F121" s="164">
        <v>265.47000000000003</v>
      </c>
      <c r="G121" s="165">
        <v>1</v>
      </c>
    </row>
    <row r="122" spans="1:7">
      <c r="A122" s="4"/>
      <c r="B122" s="4" t="s">
        <v>190</v>
      </c>
      <c r="C122" s="4"/>
      <c r="D122" s="5">
        <v>12904</v>
      </c>
      <c r="E122" s="5">
        <v>6723.58</v>
      </c>
      <c r="F122" s="5">
        <v>6180.42</v>
      </c>
      <c r="G122" s="163">
        <v>0.91922000000000004</v>
      </c>
    </row>
    <row r="123" spans="1:7">
      <c r="A123" s="4"/>
      <c r="B123" s="4" t="s">
        <v>418</v>
      </c>
      <c r="C123" s="4"/>
      <c r="D123" s="5"/>
      <c r="E123" s="5"/>
      <c r="F123" s="5"/>
      <c r="G123" s="163"/>
    </row>
    <row r="124" spans="1:7">
      <c r="A124" s="4"/>
      <c r="B124" s="4"/>
      <c r="C124" s="4" t="s">
        <v>191</v>
      </c>
      <c r="D124" s="5">
        <v>26592.11</v>
      </c>
      <c r="E124" s="5">
        <v>23883.94</v>
      </c>
      <c r="F124" s="5">
        <v>2708.17</v>
      </c>
      <c r="G124" s="163">
        <v>0.11339</v>
      </c>
    </row>
    <row r="125" spans="1:7">
      <c r="A125" s="4"/>
      <c r="B125" s="4"/>
      <c r="C125" s="4" t="s">
        <v>192</v>
      </c>
      <c r="D125" s="5">
        <v>1355.7</v>
      </c>
      <c r="E125" s="5">
        <v>806.83</v>
      </c>
      <c r="F125" s="5">
        <v>548.87</v>
      </c>
      <c r="G125" s="163">
        <v>0.68028</v>
      </c>
    </row>
    <row r="126" spans="1:7">
      <c r="A126" s="4"/>
      <c r="B126" s="4"/>
      <c r="C126" s="4" t="s">
        <v>193</v>
      </c>
      <c r="D126" s="5">
        <v>4743.82</v>
      </c>
      <c r="E126" s="5">
        <v>4915.92</v>
      </c>
      <c r="F126" s="5">
        <v>-172.1</v>
      </c>
      <c r="G126" s="163">
        <v>-3.5009999999999999E-2</v>
      </c>
    </row>
    <row r="127" spans="1:7" ht="15.75" thickBot="1">
      <c r="A127" s="4"/>
      <c r="B127" s="4"/>
      <c r="C127" s="4" t="s">
        <v>419</v>
      </c>
      <c r="D127" s="164">
        <v>307.33999999999997</v>
      </c>
      <c r="E127" s="164">
        <v>0</v>
      </c>
      <c r="F127" s="164">
        <v>307.33999999999997</v>
      </c>
      <c r="G127" s="165">
        <v>1</v>
      </c>
    </row>
    <row r="128" spans="1:7">
      <c r="A128" s="4"/>
      <c r="B128" s="4" t="s">
        <v>421</v>
      </c>
      <c r="C128" s="4"/>
      <c r="D128" s="5">
        <v>32998.97</v>
      </c>
      <c r="E128" s="5">
        <v>29606.69</v>
      </c>
      <c r="F128" s="5">
        <v>3392.28</v>
      </c>
      <c r="G128" s="163">
        <v>0.11458</v>
      </c>
    </row>
    <row r="129" spans="1:7">
      <c r="A129" s="4"/>
      <c r="B129" s="4" t="s">
        <v>194</v>
      </c>
      <c r="C129" s="4"/>
      <c r="D129" s="5"/>
      <c r="E129" s="5"/>
      <c r="F129" s="5"/>
      <c r="G129" s="163"/>
    </row>
    <row r="130" spans="1:7">
      <c r="A130" s="4"/>
      <c r="B130" s="4"/>
      <c r="C130" s="4" t="s">
        <v>195</v>
      </c>
      <c r="D130" s="5">
        <v>26327.47</v>
      </c>
      <c r="E130" s="5">
        <v>62004.42</v>
      </c>
      <c r="F130" s="5">
        <v>-35676.949999999997</v>
      </c>
      <c r="G130" s="163">
        <v>-0.57538999999999996</v>
      </c>
    </row>
    <row r="131" spans="1:7">
      <c r="A131" s="4"/>
      <c r="B131" s="4"/>
      <c r="C131" s="4" t="s">
        <v>196</v>
      </c>
      <c r="D131" s="5">
        <v>29931.51</v>
      </c>
      <c r="E131" s="5">
        <v>34453.74</v>
      </c>
      <c r="F131" s="5">
        <v>-4522.2299999999996</v>
      </c>
      <c r="G131" s="163">
        <v>-0.13125999999999999</v>
      </c>
    </row>
    <row r="132" spans="1:7">
      <c r="A132" s="4"/>
      <c r="B132" s="4"/>
      <c r="C132" s="4" t="s">
        <v>197</v>
      </c>
      <c r="D132" s="5">
        <v>23625.07</v>
      </c>
      <c r="E132" s="5">
        <v>25419.63</v>
      </c>
      <c r="F132" s="5">
        <v>-1794.56</v>
      </c>
      <c r="G132" s="163">
        <v>-7.0599999999999996E-2</v>
      </c>
    </row>
    <row r="133" spans="1:7">
      <c r="A133" s="4"/>
      <c r="B133" s="4"/>
      <c r="C133" s="4" t="s">
        <v>511</v>
      </c>
      <c r="D133" s="5">
        <v>0</v>
      </c>
      <c r="E133" s="5">
        <v>100</v>
      </c>
      <c r="F133" s="5">
        <v>-100</v>
      </c>
      <c r="G133" s="163">
        <v>-1</v>
      </c>
    </row>
    <row r="134" spans="1:7" ht="15.75" thickBot="1">
      <c r="A134" s="4"/>
      <c r="B134" s="4"/>
      <c r="C134" s="4" t="s">
        <v>383</v>
      </c>
      <c r="D134" s="164">
        <v>0</v>
      </c>
      <c r="E134" s="164">
        <v>388.96</v>
      </c>
      <c r="F134" s="164">
        <v>-388.96</v>
      </c>
      <c r="G134" s="165">
        <v>-1</v>
      </c>
    </row>
    <row r="135" spans="1:7">
      <c r="A135" s="4"/>
      <c r="B135" s="4" t="s">
        <v>198</v>
      </c>
      <c r="C135" s="4"/>
      <c r="D135" s="5">
        <v>79884.05</v>
      </c>
      <c r="E135" s="5">
        <v>122366.75</v>
      </c>
      <c r="F135" s="5">
        <v>-42482.7</v>
      </c>
      <c r="G135" s="163">
        <v>-0.34717999999999999</v>
      </c>
    </row>
    <row r="136" spans="1:7">
      <c r="A136" s="4"/>
      <c r="B136" s="4" t="s">
        <v>422</v>
      </c>
      <c r="C136" s="4"/>
      <c r="D136" s="5"/>
      <c r="E136" s="5"/>
      <c r="F136" s="5"/>
      <c r="G136" s="163"/>
    </row>
    <row r="137" spans="1:7">
      <c r="A137" s="4"/>
      <c r="B137" s="4"/>
      <c r="C137" s="4" t="s">
        <v>199</v>
      </c>
      <c r="D137" s="5">
        <v>17465.060000000001</v>
      </c>
      <c r="E137" s="5">
        <v>20137.27</v>
      </c>
      <c r="F137" s="5">
        <v>-2672.21</v>
      </c>
      <c r="G137" s="163">
        <v>-0.13270000000000001</v>
      </c>
    </row>
    <row r="138" spans="1:7" ht="15.75" thickBot="1">
      <c r="A138" s="4"/>
      <c r="B138" s="4"/>
      <c r="C138" s="4" t="s">
        <v>423</v>
      </c>
      <c r="D138" s="164">
        <v>0</v>
      </c>
      <c r="E138" s="164">
        <v>174.62</v>
      </c>
      <c r="F138" s="164">
        <v>-174.62</v>
      </c>
      <c r="G138" s="165">
        <v>-1</v>
      </c>
    </row>
    <row r="139" spans="1:7">
      <c r="A139" s="4"/>
      <c r="B139" s="4" t="s">
        <v>424</v>
      </c>
      <c r="C139" s="4"/>
      <c r="D139" s="5">
        <v>17465.060000000001</v>
      </c>
      <c r="E139" s="5">
        <v>20311.89</v>
      </c>
      <c r="F139" s="5">
        <v>-2846.83</v>
      </c>
      <c r="G139" s="163">
        <v>-0.14016000000000001</v>
      </c>
    </row>
    <row r="140" spans="1:7">
      <c r="A140" s="4"/>
      <c r="B140" s="4" t="s">
        <v>201</v>
      </c>
      <c r="C140" s="4"/>
      <c r="D140" s="5"/>
      <c r="E140" s="5"/>
      <c r="F140" s="5"/>
      <c r="G140" s="163"/>
    </row>
    <row r="141" spans="1:7">
      <c r="A141" s="4"/>
      <c r="B141" s="4"/>
      <c r="C141" s="4" t="s">
        <v>202</v>
      </c>
      <c r="D141" s="5">
        <v>7551.68</v>
      </c>
      <c r="E141" s="5">
        <v>6840.03</v>
      </c>
      <c r="F141" s="5">
        <v>711.65</v>
      </c>
      <c r="G141" s="163">
        <v>0.10403999999999999</v>
      </c>
    </row>
    <row r="142" spans="1:7" ht="15.75" thickBot="1">
      <c r="A142" s="4"/>
      <c r="B142" s="4"/>
      <c r="C142" s="4" t="s">
        <v>203</v>
      </c>
      <c r="D142" s="164">
        <v>0</v>
      </c>
      <c r="E142" s="164">
        <v>688.85</v>
      </c>
      <c r="F142" s="164">
        <v>-688.85</v>
      </c>
      <c r="G142" s="165">
        <v>-1</v>
      </c>
    </row>
    <row r="143" spans="1:7">
      <c r="A143" s="4"/>
      <c r="B143" s="4" t="s">
        <v>204</v>
      </c>
      <c r="C143" s="4"/>
      <c r="D143" s="5">
        <v>7551.68</v>
      </c>
      <c r="E143" s="5">
        <v>7528.88</v>
      </c>
      <c r="F143" s="5">
        <v>22.8</v>
      </c>
      <c r="G143" s="163">
        <v>3.0300000000000001E-3</v>
      </c>
    </row>
    <row r="144" spans="1:7">
      <c r="A144" s="4"/>
      <c r="B144" s="4" t="s">
        <v>205</v>
      </c>
      <c r="C144" s="4"/>
      <c r="D144" s="5"/>
      <c r="E144" s="5"/>
      <c r="F144" s="5"/>
      <c r="G144" s="163"/>
    </row>
    <row r="145" spans="1:7">
      <c r="A145" s="4"/>
      <c r="B145" s="4"/>
      <c r="C145" s="4" t="s">
        <v>206</v>
      </c>
      <c r="D145" s="5">
        <v>9831.56</v>
      </c>
      <c r="E145" s="5">
        <v>8656.59</v>
      </c>
      <c r="F145" s="5">
        <v>1174.97</v>
      </c>
      <c r="G145" s="163">
        <v>0.13572999999999999</v>
      </c>
    </row>
    <row r="146" spans="1:7" ht="15.75" thickBot="1">
      <c r="A146" s="4"/>
      <c r="B146" s="4"/>
      <c r="C146" s="4" t="s">
        <v>425</v>
      </c>
      <c r="D146" s="164">
        <v>6753.57</v>
      </c>
      <c r="E146" s="164">
        <v>5895.02</v>
      </c>
      <c r="F146" s="164">
        <v>858.55</v>
      </c>
      <c r="G146" s="165">
        <v>0.14563999999999999</v>
      </c>
    </row>
    <row r="147" spans="1:7">
      <c r="A147" s="4"/>
      <c r="B147" s="4" t="s">
        <v>207</v>
      </c>
      <c r="C147" s="4"/>
      <c r="D147" s="5">
        <v>16585.13</v>
      </c>
      <c r="E147" s="5">
        <v>14551.61</v>
      </c>
      <c r="F147" s="5">
        <v>2033.52</v>
      </c>
      <c r="G147" s="163">
        <v>0.13975000000000001</v>
      </c>
    </row>
    <row r="148" spans="1:7">
      <c r="A148" s="4"/>
      <c r="B148" s="4" t="s">
        <v>208</v>
      </c>
      <c r="C148" s="4"/>
      <c r="D148" s="5"/>
      <c r="E148" s="5"/>
      <c r="F148" s="5"/>
      <c r="G148" s="163"/>
    </row>
    <row r="149" spans="1:7">
      <c r="A149" s="4"/>
      <c r="B149" s="4"/>
      <c r="C149" s="4" t="s">
        <v>209</v>
      </c>
      <c r="D149" s="5">
        <v>3938.1</v>
      </c>
      <c r="E149" s="5">
        <v>4149.28</v>
      </c>
      <c r="F149" s="5">
        <v>-211.18</v>
      </c>
      <c r="G149" s="163">
        <v>-5.0900000000000001E-2</v>
      </c>
    </row>
    <row r="150" spans="1:7">
      <c r="A150" s="4"/>
      <c r="B150" s="4"/>
      <c r="C150" s="4" t="s">
        <v>427</v>
      </c>
      <c r="D150" s="5">
        <v>4949.84</v>
      </c>
      <c r="E150" s="5">
        <v>4168.18</v>
      </c>
      <c r="F150" s="5">
        <v>781.66</v>
      </c>
      <c r="G150" s="163">
        <v>0.18753</v>
      </c>
    </row>
    <row r="151" spans="1:7" ht="15.75" thickBot="1">
      <c r="A151" s="4"/>
      <c r="B151" s="4"/>
      <c r="C151" s="4" t="s">
        <v>210</v>
      </c>
      <c r="D151" s="164">
        <v>4924.12</v>
      </c>
      <c r="E151" s="164">
        <v>4865.6099999999997</v>
      </c>
      <c r="F151" s="164">
        <v>58.51</v>
      </c>
      <c r="G151" s="165">
        <v>1.2030000000000001E-2</v>
      </c>
    </row>
    <row r="152" spans="1:7">
      <c r="A152" s="4"/>
      <c r="B152" s="4" t="s">
        <v>211</v>
      </c>
      <c r="C152" s="4"/>
      <c r="D152" s="5">
        <v>13812.06</v>
      </c>
      <c r="E152" s="5">
        <v>13183.07</v>
      </c>
      <c r="F152" s="5">
        <v>628.99</v>
      </c>
      <c r="G152" s="163">
        <v>4.7710000000000002E-2</v>
      </c>
    </row>
    <row r="153" spans="1:7">
      <c r="A153" s="4"/>
      <c r="B153" s="4" t="s">
        <v>212</v>
      </c>
      <c r="C153" s="4"/>
      <c r="D153" s="5"/>
      <c r="E153" s="5"/>
      <c r="F153" s="5"/>
      <c r="G153" s="163"/>
    </row>
    <row r="154" spans="1:7">
      <c r="A154" s="4"/>
      <c r="B154" s="4"/>
      <c r="C154" s="4" t="s">
        <v>213</v>
      </c>
      <c r="D154" s="5">
        <v>1584.59</v>
      </c>
      <c r="E154" s="5">
        <v>1573.36</v>
      </c>
      <c r="F154" s="5">
        <v>11.23</v>
      </c>
      <c r="G154" s="163">
        <v>7.1399999999999996E-3</v>
      </c>
    </row>
    <row r="155" spans="1:7" ht="15.75" thickBot="1">
      <c r="A155" s="4"/>
      <c r="B155" s="4"/>
      <c r="C155" s="4" t="s">
        <v>214</v>
      </c>
      <c r="D155" s="164">
        <v>3178.43</v>
      </c>
      <c r="E155" s="164">
        <v>3526.26</v>
      </c>
      <c r="F155" s="164">
        <v>-347.83</v>
      </c>
      <c r="G155" s="165">
        <v>-9.8640000000000005E-2</v>
      </c>
    </row>
    <row r="156" spans="1:7">
      <c r="A156" s="4"/>
      <c r="B156" s="4" t="s">
        <v>216</v>
      </c>
      <c r="C156" s="4"/>
      <c r="D156" s="5">
        <v>4763.0200000000004</v>
      </c>
      <c r="E156" s="5">
        <v>5099.62</v>
      </c>
      <c r="F156" s="5">
        <v>-336.6</v>
      </c>
      <c r="G156" s="163">
        <v>-6.6000000000000003E-2</v>
      </c>
    </row>
    <row r="157" spans="1:7">
      <c r="A157" s="4"/>
      <c r="B157" s="4" t="s">
        <v>217</v>
      </c>
      <c r="C157" s="4"/>
      <c r="D157" s="5">
        <v>0</v>
      </c>
      <c r="E157" s="5">
        <v>154.81</v>
      </c>
      <c r="F157" s="5">
        <v>-154.81</v>
      </c>
      <c r="G157" s="163">
        <v>-1</v>
      </c>
    </row>
    <row r="158" spans="1:7">
      <c r="A158" s="4"/>
      <c r="B158" s="4" t="s">
        <v>512</v>
      </c>
      <c r="C158" s="4"/>
      <c r="D158" s="5">
        <v>71500</v>
      </c>
      <c r="E158" s="5">
        <v>64070</v>
      </c>
      <c r="F158" s="5">
        <v>7430</v>
      </c>
      <c r="G158" s="163">
        <v>0.11597</v>
      </c>
    </row>
    <row r="159" spans="1:7" ht="15.75" thickBot="1">
      <c r="A159" s="4"/>
      <c r="B159" s="4" t="s">
        <v>701</v>
      </c>
      <c r="C159" s="4"/>
      <c r="D159" s="164">
        <v>20000</v>
      </c>
      <c r="E159" s="164">
        <v>0</v>
      </c>
      <c r="F159" s="164">
        <v>20000</v>
      </c>
      <c r="G159" s="165">
        <v>1</v>
      </c>
    </row>
    <row r="160" spans="1:7">
      <c r="A160" s="4" t="s">
        <v>218</v>
      </c>
      <c r="B160" s="4"/>
      <c r="C160" s="4"/>
      <c r="D160" s="5">
        <v>1052009.32</v>
      </c>
      <c r="E160" s="5">
        <v>1000639.05</v>
      </c>
      <c r="F160" s="5">
        <v>51370.27</v>
      </c>
      <c r="G160" s="163">
        <v>5.1339999999999997E-2</v>
      </c>
    </row>
    <row r="161" spans="1:7">
      <c r="A161" s="4" t="s">
        <v>559</v>
      </c>
      <c r="B161" s="4"/>
      <c r="C161" s="4"/>
      <c r="D161" s="5"/>
      <c r="E161" s="5"/>
      <c r="F161" s="5"/>
      <c r="G161" s="163"/>
    </row>
    <row r="162" spans="1:7" ht="15.75" thickBot="1">
      <c r="A162" s="4"/>
      <c r="B162" s="4" t="s">
        <v>444</v>
      </c>
      <c r="C162" s="4"/>
      <c r="D162" s="5">
        <v>0.01</v>
      </c>
      <c r="E162" s="5">
        <v>0</v>
      </c>
      <c r="F162" s="5">
        <v>0.01</v>
      </c>
      <c r="G162" s="163">
        <v>1</v>
      </c>
    </row>
    <row r="163" spans="1:7" ht="15.75" thickBot="1">
      <c r="A163" s="4" t="s">
        <v>560</v>
      </c>
      <c r="B163" s="4"/>
      <c r="C163" s="4"/>
      <c r="D163" s="168">
        <v>0.01</v>
      </c>
      <c r="E163" s="168">
        <v>0</v>
      </c>
      <c r="F163" s="168">
        <v>0.01</v>
      </c>
      <c r="G163" s="169">
        <v>1</v>
      </c>
    </row>
    <row r="164" spans="1:7" ht="15.75" thickBot="1">
      <c r="A164" s="158" t="s">
        <v>264</v>
      </c>
      <c r="B164" s="4"/>
      <c r="C164" s="4"/>
      <c r="D164" s="168">
        <v>1052009.33</v>
      </c>
      <c r="E164" s="168">
        <v>1000639.05</v>
      </c>
      <c r="F164" s="168">
        <v>51370.28</v>
      </c>
      <c r="G164" s="169">
        <v>5.1339999999999997E-2</v>
      </c>
    </row>
    <row r="165" spans="1:7" ht="15.75" thickBot="1">
      <c r="A165" s="158" t="s">
        <v>265</v>
      </c>
      <c r="B165" s="4"/>
      <c r="C165" s="4"/>
      <c r="D165" s="170">
        <v>31637.15</v>
      </c>
      <c r="E165" s="170">
        <v>40757.11</v>
      </c>
      <c r="F165" s="170">
        <v>-9119.9599999999991</v>
      </c>
      <c r="G165" s="171">
        <v>-0.22375999999999999</v>
      </c>
    </row>
    <row r="166" spans="1:7" ht="15.75" thickTop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9A771-21B3-4274-99D8-8DA9DB3C1C59}">
  <dimension ref="A1:J90"/>
  <sheetViews>
    <sheetView topLeftCell="A36" workbookViewId="0">
      <selection activeCell="E52" sqref="E52"/>
    </sheetView>
  </sheetViews>
  <sheetFormatPr defaultRowHeight="15"/>
  <cols>
    <col min="1" max="1" width="26.140625" bestFit="1" customWidth="1"/>
    <col min="2" max="2" width="28.28515625" bestFit="1" customWidth="1"/>
    <col min="3" max="3" width="29.85546875" bestFit="1" customWidth="1"/>
    <col min="4" max="4" width="31.5703125" bestFit="1" customWidth="1"/>
    <col min="5" max="6" width="10.5703125" bestFit="1" customWidth="1"/>
    <col min="7" max="7" width="9.85546875" bestFit="1" customWidth="1"/>
    <col min="8" max="8" width="9" bestFit="1" customWidth="1"/>
  </cols>
  <sheetData>
    <row r="1" spans="1:8" ht="15.75" thickBot="1">
      <c r="A1" s="4"/>
      <c r="B1" s="4"/>
      <c r="C1" s="4"/>
      <c r="D1" s="4"/>
      <c r="E1" s="162"/>
      <c r="F1" s="162"/>
      <c r="G1" s="162"/>
      <c r="H1" s="162"/>
    </row>
    <row r="2" spans="1:8" ht="16.5" thickTop="1" thickBot="1">
      <c r="A2" s="1"/>
      <c r="B2" s="1"/>
      <c r="C2" s="1"/>
      <c r="D2" s="1"/>
      <c r="E2" s="172" t="s">
        <v>703</v>
      </c>
      <c r="F2" s="172" t="s">
        <v>689</v>
      </c>
      <c r="G2" s="172" t="s">
        <v>374</v>
      </c>
      <c r="H2" s="172" t="s">
        <v>685</v>
      </c>
    </row>
    <row r="3" spans="1:8" ht="15.75" thickTop="1">
      <c r="A3" s="158" t="s">
        <v>46</v>
      </c>
      <c r="B3" s="4"/>
      <c r="C3" s="4"/>
      <c r="D3" s="4"/>
      <c r="E3" s="5"/>
      <c r="F3" s="5"/>
      <c r="G3" s="5"/>
      <c r="H3" s="163"/>
    </row>
    <row r="4" spans="1:8">
      <c r="A4" s="158" t="s">
        <v>311</v>
      </c>
      <c r="B4" s="4"/>
      <c r="C4" s="4"/>
      <c r="D4" s="4"/>
      <c r="E4" s="5"/>
      <c r="F4" s="5"/>
      <c r="G4" s="5"/>
      <c r="H4" s="163"/>
    </row>
    <row r="5" spans="1:8">
      <c r="A5" s="4" t="s">
        <v>312</v>
      </c>
      <c r="B5" s="4"/>
      <c r="C5" s="4"/>
      <c r="D5" s="4"/>
      <c r="E5" s="5"/>
      <c r="F5" s="5"/>
      <c r="G5" s="5"/>
      <c r="H5" s="163"/>
    </row>
    <row r="6" spans="1:8">
      <c r="A6" s="4"/>
      <c r="B6" s="4" t="s">
        <v>313</v>
      </c>
      <c r="C6" s="4"/>
      <c r="D6" s="4"/>
      <c r="E6" s="5"/>
      <c r="F6" s="5"/>
      <c r="G6" s="5"/>
      <c r="H6" s="163"/>
    </row>
    <row r="7" spans="1:8">
      <c r="A7" s="4"/>
      <c r="B7" s="4"/>
      <c r="C7" s="4" t="s">
        <v>314</v>
      </c>
      <c r="D7" s="4"/>
      <c r="E7" s="5"/>
      <c r="F7" s="5"/>
      <c r="G7" s="5"/>
      <c r="H7" s="163"/>
    </row>
    <row r="8" spans="1:8">
      <c r="A8" s="4"/>
      <c r="B8" s="4"/>
      <c r="C8" s="4"/>
      <c r="D8" s="4" t="s">
        <v>315</v>
      </c>
      <c r="E8" s="5">
        <v>16169.43</v>
      </c>
      <c r="F8" s="5">
        <v>19630.11</v>
      </c>
      <c r="G8" s="5">
        <v>-3460.68</v>
      </c>
      <c r="H8" s="163">
        <v>-0.17629</v>
      </c>
    </row>
    <row r="9" spans="1:8">
      <c r="A9" s="4"/>
      <c r="B9" s="4"/>
      <c r="C9" s="4"/>
      <c r="D9" s="4" t="s">
        <v>451</v>
      </c>
      <c r="E9" s="5">
        <v>2655.42</v>
      </c>
      <c r="F9" s="5">
        <v>3035.17</v>
      </c>
      <c r="G9" s="5">
        <v>-379.75</v>
      </c>
      <c r="H9" s="163">
        <v>-0.12512000000000001</v>
      </c>
    </row>
    <row r="10" spans="1:8">
      <c r="A10" s="4"/>
      <c r="B10" s="4"/>
      <c r="C10" s="4"/>
      <c r="D10" s="4" t="s">
        <v>514</v>
      </c>
      <c r="E10" s="5">
        <v>78593.34</v>
      </c>
      <c r="F10" s="5">
        <v>143740.69</v>
      </c>
      <c r="G10" s="5">
        <v>-65147.35</v>
      </c>
      <c r="H10" s="163">
        <v>-0.45323000000000002</v>
      </c>
    </row>
    <row r="11" spans="1:8">
      <c r="A11" s="4"/>
      <c r="B11" s="4"/>
      <c r="C11" s="4"/>
      <c r="D11" s="4" t="s">
        <v>562</v>
      </c>
      <c r="E11" s="5">
        <v>51.61</v>
      </c>
      <c r="F11" s="5">
        <v>51.29</v>
      </c>
      <c r="G11" s="5">
        <v>0.32</v>
      </c>
      <c r="H11" s="163">
        <v>6.2399999999999999E-3</v>
      </c>
    </row>
    <row r="12" spans="1:8" ht="15.75" thickBot="1">
      <c r="A12" s="4"/>
      <c r="B12" s="4"/>
      <c r="C12" s="4"/>
      <c r="D12" s="4" t="s">
        <v>318</v>
      </c>
      <c r="E12" s="164">
        <v>23154.7</v>
      </c>
      <c r="F12" s="164">
        <v>26596.44</v>
      </c>
      <c r="G12" s="164">
        <v>-3441.74</v>
      </c>
      <c r="H12" s="165">
        <v>-0.12941</v>
      </c>
    </row>
    <row r="13" spans="1:8">
      <c r="A13" s="4"/>
      <c r="B13" s="4"/>
      <c r="C13" s="4" t="s">
        <v>319</v>
      </c>
      <c r="D13" s="4"/>
      <c r="E13" s="5">
        <v>120624.5</v>
      </c>
      <c r="F13" s="5">
        <v>193053.7</v>
      </c>
      <c r="G13" s="5">
        <v>-72429.2</v>
      </c>
      <c r="H13" s="163">
        <v>-0.37518000000000001</v>
      </c>
    </row>
    <row r="14" spans="1:8">
      <c r="A14" s="4"/>
      <c r="B14" s="4"/>
      <c r="C14" s="4" t="s">
        <v>515</v>
      </c>
      <c r="D14" s="4"/>
      <c r="E14" s="5"/>
      <c r="F14" s="5"/>
      <c r="G14" s="5"/>
      <c r="H14" s="163"/>
    </row>
    <row r="15" spans="1:8" ht="15.75" thickBot="1">
      <c r="A15" s="4"/>
      <c r="B15" s="4"/>
      <c r="C15" s="4"/>
      <c r="D15" s="4" t="s">
        <v>516</v>
      </c>
      <c r="E15" s="164">
        <v>75735.34</v>
      </c>
      <c r="F15" s="164">
        <v>50418.38</v>
      </c>
      <c r="G15" s="164">
        <v>25316.959999999999</v>
      </c>
      <c r="H15" s="165">
        <v>0.50214000000000003</v>
      </c>
    </row>
    <row r="16" spans="1:8">
      <c r="A16" s="4"/>
      <c r="B16" s="4"/>
      <c r="C16" s="4" t="s">
        <v>517</v>
      </c>
      <c r="D16" s="4"/>
      <c r="E16" s="5">
        <v>75735.34</v>
      </c>
      <c r="F16" s="5">
        <v>50418.38</v>
      </c>
      <c r="G16" s="5">
        <v>25316.959999999999</v>
      </c>
      <c r="H16" s="163">
        <v>0.50214000000000003</v>
      </c>
    </row>
    <row r="17" spans="1:8">
      <c r="A17" s="4"/>
      <c r="B17" s="4"/>
      <c r="C17" s="4" t="s">
        <v>518</v>
      </c>
      <c r="D17" s="4"/>
      <c r="E17" s="5"/>
      <c r="F17" s="5"/>
      <c r="G17" s="5"/>
      <c r="H17" s="163"/>
    </row>
    <row r="18" spans="1:8">
      <c r="A18" s="4"/>
      <c r="B18" s="4"/>
      <c r="C18" s="4"/>
      <c r="D18" s="4" t="s">
        <v>519</v>
      </c>
      <c r="E18" s="5"/>
      <c r="F18" s="5"/>
      <c r="G18" s="5"/>
      <c r="H18" s="163"/>
    </row>
    <row r="19" spans="1:8">
      <c r="A19" s="4"/>
      <c r="B19" s="4"/>
      <c r="C19" s="4"/>
      <c r="D19" s="157" t="s">
        <v>520</v>
      </c>
      <c r="E19" s="5"/>
      <c r="F19" s="5"/>
      <c r="G19" s="5"/>
      <c r="H19" s="163"/>
    </row>
    <row r="20" spans="1:8" ht="15.75" thickBot="1">
      <c r="A20" s="4"/>
      <c r="B20" s="4"/>
      <c r="C20" s="4"/>
      <c r="D20" s="157" t="s">
        <v>322</v>
      </c>
      <c r="E20" s="5">
        <v>339.07</v>
      </c>
      <c r="F20" s="5">
        <v>330.56</v>
      </c>
      <c r="G20" s="5">
        <v>8.51</v>
      </c>
      <c r="H20" s="163">
        <v>2.5739999999999999E-2</v>
      </c>
    </row>
    <row r="21" spans="1:8" ht="15.75" thickBot="1">
      <c r="A21" s="4"/>
      <c r="B21" s="4"/>
      <c r="C21" s="4"/>
      <c r="D21" s="157" t="s">
        <v>521</v>
      </c>
      <c r="E21" s="168">
        <v>339.07</v>
      </c>
      <c r="F21" s="168">
        <v>330.56</v>
      </c>
      <c r="G21" s="168">
        <v>8.51</v>
      </c>
      <c r="H21" s="169">
        <v>2.5739999999999999E-2</v>
      </c>
    </row>
    <row r="22" spans="1:8" ht="15.75" thickBot="1">
      <c r="A22" s="4"/>
      <c r="B22" s="4"/>
      <c r="C22" s="4"/>
      <c r="D22" s="4" t="s">
        <v>522</v>
      </c>
      <c r="E22" s="166">
        <v>339.07</v>
      </c>
      <c r="F22" s="166">
        <v>330.56</v>
      </c>
      <c r="G22" s="166">
        <v>8.51</v>
      </c>
      <c r="H22" s="167">
        <v>2.5739999999999999E-2</v>
      </c>
    </row>
    <row r="23" spans="1:8">
      <c r="A23" s="4"/>
      <c r="B23" s="4"/>
      <c r="C23" s="4" t="s">
        <v>523</v>
      </c>
      <c r="D23" s="4"/>
      <c r="E23" s="5">
        <v>339.07</v>
      </c>
      <c r="F23" s="5">
        <v>330.56</v>
      </c>
      <c r="G23" s="5">
        <v>8.51</v>
      </c>
      <c r="H23" s="163">
        <v>2.5739999999999999E-2</v>
      </c>
    </row>
    <row r="24" spans="1:8">
      <c r="A24" s="4"/>
      <c r="B24" s="4"/>
      <c r="C24" s="4" t="s">
        <v>690</v>
      </c>
      <c r="D24" s="4"/>
      <c r="E24" s="5"/>
      <c r="F24" s="5"/>
      <c r="G24" s="5"/>
      <c r="H24" s="163"/>
    </row>
    <row r="25" spans="1:8">
      <c r="A25" s="4"/>
      <c r="B25" s="4"/>
      <c r="C25" s="4"/>
      <c r="D25" s="4" t="s">
        <v>691</v>
      </c>
      <c r="E25" s="5">
        <v>0</v>
      </c>
      <c r="F25" s="5">
        <v>40342.400000000001</v>
      </c>
      <c r="G25" s="5">
        <v>-40342.400000000001</v>
      </c>
      <c r="H25" s="163">
        <v>-1</v>
      </c>
    </row>
    <row r="26" spans="1:8">
      <c r="A26" s="4"/>
      <c r="B26" s="4"/>
      <c r="C26" s="4"/>
      <c r="D26" s="4" t="s">
        <v>704</v>
      </c>
      <c r="E26" s="5">
        <v>102478.92</v>
      </c>
      <c r="F26" s="5">
        <v>40202.79</v>
      </c>
      <c r="G26" s="5">
        <v>62276.13</v>
      </c>
      <c r="H26" s="163">
        <v>1.54905</v>
      </c>
    </row>
    <row r="27" spans="1:8">
      <c r="A27" s="4"/>
      <c r="B27" s="4"/>
      <c r="C27" s="4"/>
      <c r="D27" s="4" t="s">
        <v>692</v>
      </c>
      <c r="E27" s="5">
        <v>0</v>
      </c>
      <c r="F27" s="5">
        <v>45407.11</v>
      </c>
      <c r="G27" s="5">
        <v>-45407.11</v>
      </c>
      <c r="H27" s="163">
        <v>-1</v>
      </c>
    </row>
    <row r="28" spans="1:8">
      <c r="A28" s="4"/>
      <c r="B28" s="4"/>
      <c r="C28" s="4"/>
      <c r="D28" s="4" t="s">
        <v>693</v>
      </c>
      <c r="E28" s="5">
        <v>0</v>
      </c>
      <c r="F28" s="5">
        <v>202009.37</v>
      </c>
      <c r="G28" s="5">
        <v>-202009.37</v>
      </c>
      <c r="H28" s="163">
        <v>-1</v>
      </c>
    </row>
    <row r="29" spans="1:8" ht="15.75" thickBot="1">
      <c r="A29" s="4"/>
      <c r="B29" s="4"/>
      <c r="C29" s="4"/>
      <c r="D29" s="4" t="s">
        <v>705</v>
      </c>
      <c r="E29" s="5">
        <v>252924.61</v>
      </c>
      <c r="F29" s="5">
        <v>0</v>
      </c>
      <c r="G29" s="5">
        <v>252924.61</v>
      </c>
      <c r="H29" s="163">
        <v>1</v>
      </c>
    </row>
    <row r="30" spans="1:8" ht="15.75" thickBot="1">
      <c r="A30" s="4"/>
      <c r="B30" s="4"/>
      <c r="C30" s="4" t="s">
        <v>694</v>
      </c>
      <c r="D30" s="4"/>
      <c r="E30" s="168">
        <v>355403.53</v>
      </c>
      <c r="F30" s="168">
        <v>327961.67</v>
      </c>
      <c r="G30" s="168">
        <v>27441.86</v>
      </c>
      <c r="H30" s="169">
        <v>8.3669999999999994E-2</v>
      </c>
    </row>
    <row r="31" spans="1:8" ht="15.75" thickBot="1">
      <c r="A31" s="4"/>
      <c r="B31" s="4" t="s">
        <v>320</v>
      </c>
      <c r="C31" s="4"/>
      <c r="D31" s="4"/>
      <c r="E31" s="166">
        <v>552102.43999999994</v>
      </c>
      <c r="F31" s="166">
        <v>571764.31000000006</v>
      </c>
      <c r="G31" s="166">
        <v>-19661.87</v>
      </c>
      <c r="H31" s="167">
        <v>-3.4389999999999997E-2</v>
      </c>
    </row>
    <row r="32" spans="1:8">
      <c r="A32" s="4" t="s">
        <v>324</v>
      </c>
      <c r="B32" s="4"/>
      <c r="C32" s="4"/>
      <c r="D32" s="4"/>
      <c r="E32" s="5">
        <v>552102.43999999994</v>
      </c>
      <c r="F32" s="5">
        <v>571764.31000000006</v>
      </c>
      <c r="G32" s="5">
        <v>-19661.87</v>
      </c>
      <c r="H32" s="163">
        <v>-3.4389999999999997E-2</v>
      </c>
    </row>
    <row r="33" spans="1:10">
      <c r="A33" s="4" t="s">
        <v>325</v>
      </c>
      <c r="B33" s="4"/>
      <c r="C33" s="4"/>
      <c r="D33" s="4"/>
      <c r="E33" s="5"/>
      <c r="F33" s="5"/>
      <c r="G33" s="5"/>
      <c r="H33" s="163"/>
    </row>
    <row r="34" spans="1:10">
      <c r="A34" s="4"/>
      <c r="B34" s="4" t="s">
        <v>326</v>
      </c>
      <c r="C34" s="4"/>
      <c r="D34" s="4"/>
      <c r="E34" s="5">
        <v>27044.25</v>
      </c>
      <c r="F34" s="5">
        <v>17654.25</v>
      </c>
      <c r="G34" s="5">
        <v>9390</v>
      </c>
      <c r="H34" s="163">
        <v>0.53188000000000002</v>
      </c>
    </row>
    <row r="35" spans="1:10">
      <c r="A35" s="4"/>
      <c r="B35" s="4" t="s">
        <v>546</v>
      </c>
      <c r="C35" s="4"/>
      <c r="D35" s="4"/>
      <c r="E35" s="5">
        <v>-142.43</v>
      </c>
      <c r="F35" s="5">
        <v>0</v>
      </c>
      <c r="G35" s="5">
        <v>-142.43</v>
      </c>
      <c r="H35" s="163">
        <v>-1</v>
      </c>
    </row>
    <row r="36" spans="1:10">
      <c r="A36" s="4"/>
      <c r="B36" s="4" t="s">
        <v>695</v>
      </c>
      <c r="C36" s="4"/>
      <c r="D36" s="4"/>
      <c r="E36" s="5"/>
      <c r="F36" s="5"/>
      <c r="G36" s="5"/>
      <c r="H36" s="163"/>
    </row>
    <row r="37" spans="1:10" ht="15.75" thickBot="1">
      <c r="A37" s="4"/>
      <c r="B37" s="4"/>
      <c r="C37" s="4" t="s">
        <v>696</v>
      </c>
      <c r="D37" s="4"/>
      <c r="E37" s="5">
        <v>185.5</v>
      </c>
      <c r="F37" s="5">
        <v>383.51</v>
      </c>
      <c r="G37" s="5">
        <v>-198.01</v>
      </c>
      <c r="H37" s="163">
        <v>-0.51631000000000005</v>
      </c>
    </row>
    <row r="38" spans="1:10" ht="15.75" thickBot="1">
      <c r="A38" s="4"/>
      <c r="B38" s="4" t="s">
        <v>697</v>
      </c>
      <c r="C38" s="4"/>
      <c r="D38" s="4"/>
      <c r="E38" s="168">
        <v>185.5</v>
      </c>
      <c r="F38" s="168">
        <v>383.51</v>
      </c>
      <c r="G38" s="168">
        <v>-198.01</v>
      </c>
      <c r="H38" s="169">
        <v>-0.51631000000000005</v>
      </c>
    </row>
    <row r="39" spans="1:10" ht="15.75" thickBot="1">
      <c r="A39" s="4" t="s">
        <v>327</v>
      </c>
      <c r="B39" s="4"/>
      <c r="C39" s="4"/>
      <c r="D39" s="4"/>
      <c r="E39" s="168">
        <v>27087.32</v>
      </c>
      <c r="F39" s="168">
        <v>18037.759999999998</v>
      </c>
      <c r="G39" s="168">
        <v>9049.56</v>
      </c>
      <c r="H39" s="169">
        <v>0.50170000000000003</v>
      </c>
    </row>
    <row r="40" spans="1:10" ht="15.75" thickBot="1">
      <c r="A40" s="158" t="s">
        <v>328</v>
      </c>
      <c r="B40" s="4"/>
      <c r="C40" s="4"/>
      <c r="D40" s="4"/>
      <c r="E40" s="168">
        <v>579189.76000000001</v>
      </c>
      <c r="F40" s="168">
        <v>589802.06999999995</v>
      </c>
      <c r="G40" s="168">
        <v>-10612.31</v>
      </c>
      <c r="H40" s="169">
        <v>-1.7989999999999999E-2</v>
      </c>
    </row>
    <row r="41" spans="1:10" ht="15.75" thickBot="1">
      <c r="A41" s="158" t="s">
        <v>52</v>
      </c>
      <c r="B41" s="4"/>
      <c r="C41" s="4"/>
      <c r="D41" s="4"/>
      <c r="E41" s="170">
        <v>579189.76000000001</v>
      </c>
      <c r="F41" s="170">
        <v>589802.06999999995</v>
      </c>
      <c r="G41" s="170">
        <v>-10612.31</v>
      </c>
      <c r="H41" s="171">
        <v>-1.7989999999999999E-2</v>
      </c>
      <c r="I41" s="161">
        <f>E41-'2025 - 2026'!G77</f>
        <v>-31294.759999999893</v>
      </c>
      <c r="J41" s="161">
        <f>F41-'2025 - 2026'!H77</f>
        <v>-14603.330000000075</v>
      </c>
    </row>
    <row r="42" spans="1:10" ht="15.75" thickTop="1">
      <c r="A42" s="158" t="s">
        <v>53</v>
      </c>
      <c r="B42" s="4"/>
      <c r="C42" s="4"/>
      <c r="D42" s="4"/>
      <c r="E42" s="5"/>
      <c r="F42" s="5"/>
      <c r="G42" s="5"/>
      <c r="H42" s="163"/>
    </row>
    <row r="43" spans="1:10">
      <c r="A43" s="158" t="s">
        <v>329</v>
      </c>
      <c r="B43" s="4"/>
      <c r="C43" s="4"/>
      <c r="D43" s="4"/>
      <c r="E43" s="5"/>
      <c r="F43" s="5"/>
      <c r="G43" s="5"/>
      <c r="H43" s="163"/>
    </row>
    <row r="44" spans="1:10">
      <c r="A44" s="4" t="s">
        <v>330</v>
      </c>
      <c r="B44" s="4"/>
      <c r="C44" s="4"/>
      <c r="D44" s="4"/>
      <c r="E44" s="5"/>
      <c r="F44" s="5"/>
      <c r="G44" s="5"/>
      <c r="H44" s="163"/>
    </row>
    <row r="45" spans="1:10">
      <c r="A45" s="4"/>
      <c r="B45" s="4" t="s">
        <v>452</v>
      </c>
      <c r="C45" s="4"/>
      <c r="D45" s="4"/>
      <c r="E45" s="5"/>
      <c r="F45" s="5"/>
      <c r="G45" s="5"/>
      <c r="H45" s="163"/>
    </row>
    <row r="46" spans="1:10">
      <c r="A46" s="4"/>
      <c r="B46" s="4"/>
      <c r="C46" s="4" t="s">
        <v>453</v>
      </c>
      <c r="D46" s="4"/>
      <c r="E46" s="5"/>
      <c r="F46" s="5"/>
      <c r="G46" s="5"/>
      <c r="H46" s="163"/>
    </row>
    <row r="47" spans="1:10">
      <c r="A47" s="4"/>
      <c r="B47" s="4"/>
      <c r="C47" s="4"/>
      <c r="D47" s="4" t="s">
        <v>474</v>
      </c>
      <c r="E47" s="5"/>
      <c r="F47" s="5"/>
      <c r="G47" s="5"/>
      <c r="H47" s="163"/>
    </row>
    <row r="48" spans="1:10" ht="15.75" thickBot="1">
      <c r="A48" s="4"/>
      <c r="B48" s="4"/>
      <c r="C48" s="4"/>
      <c r="D48" s="157" t="s">
        <v>475</v>
      </c>
      <c r="E48" s="164">
        <v>75856.77</v>
      </c>
      <c r="F48" s="164">
        <v>107356.77</v>
      </c>
      <c r="G48" s="164">
        <v>-31500</v>
      </c>
      <c r="H48" s="165">
        <v>-0.29341</v>
      </c>
    </row>
    <row r="49" spans="1:8">
      <c r="A49" s="4"/>
      <c r="B49" s="4"/>
      <c r="C49" s="4"/>
      <c r="D49" s="4" t="s">
        <v>476</v>
      </c>
      <c r="E49" s="5">
        <v>75856.77</v>
      </c>
      <c r="F49" s="5">
        <v>107356.77</v>
      </c>
      <c r="G49" s="5">
        <v>-31500</v>
      </c>
      <c r="H49" s="163">
        <v>-0.29341</v>
      </c>
    </row>
    <row r="50" spans="1:8" ht="15.75" thickBot="1">
      <c r="A50" s="4"/>
      <c r="B50" s="4"/>
      <c r="C50" s="4"/>
      <c r="D50" s="4" t="s">
        <v>458</v>
      </c>
      <c r="E50" s="5">
        <v>12636.67</v>
      </c>
      <c r="F50" s="5">
        <v>9261.2000000000007</v>
      </c>
      <c r="G50" s="5">
        <v>3375.47</v>
      </c>
      <c r="H50" s="163">
        <v>0.36447000000000002</v>
      </c>
    </row>
    <row r="51" spans="1:8" ht="15.75" thickBot="1">
      <c r="A51" s="4"/>
      <c r="B51" s="4"/>
      <c r="C51" s="4" t="s">
        <v>459</v>
      </c>
      <c r="D51" s="4"/>
      <c r="E51" s="166">
        <v>88493.440000000002</v>
      </c>
      <c r="F51" s="166">
        <v>116617.97</v>
      </c>
      <c r="G51" s="166">
        <v>-28124.53</v>
      </c>
      <c r="H51" s="167">
        <v>-0.24117</v>
      </c>
    </row>
    <row r="52" spans="1:8">
      <c r="A52" s="4"/>
      <c r="B52" s="4" t="s">
        <v>454</v>
      </c>
      <c r="C52" s="4"/>
      <c r="D52" s="4"/>
      <c r="E52" s="5">
        <v>88493.440000000002</v>
      </c>
      <c r="F52" s="5">
        <v>116617.97</v>
      </c>
      <c r="G52" s="5">
        <v>-28124.53</v>
      </c>
      <c r="H52" s="163">
        <v>-0.24117</v>
      </c>
    </row>
    <row r="53" spans="1:8">
      <c r="A53" s="4"/>
      <c r="B53" s="4" t="s">
        <v>331</v>
      </c>
      <c r="C53" s="4"/>
      <c r="D53" s="4"/>
      <c r="E53" s="5"/>
      <c r="F53" s="5"/>
      <c r="G53" s="5"/>
      <c r="H53" s="163"/>
    </row>
    <row r="54" spans="1:8">
      <c r="A54" s="4"/>
      <c r="B54" s="4"/>
      <c r="C54" s="4" t="s">
        <v>455</v>
      </c>
      <c r="D54" s="4"/>
      <c r="E54" s="5">
        <v>2089.0500000000002</v>
      </c>
      <c r="F54" s="5">
        <v>3099.05</v>
      </c>
      <c r="G54" s="5">
        <v>-1010</v>
      </c>
      <c r="H54" s="163">
        <v>-0.32590999999999998</v>
      </c>
    </row>
    <row r="55" spans="1:8">
      <c r="A55" s="4"/>
      <c r="B55" s="4"/>
      <c r="C55" s="4" t="s">
        <v>460</v>
      </c>
      <c r="D55" s="4"/>
      <c r="E55" s="5"/>
      <c r="F55" s="5"/>
      <c r="G55" s="5"/>
      <c r="H55" s="163"/>
    </row>
    <row r="56" spans="1:8">
      <c r="A56" s="4"/>
      <c r="B56" s="4"/>
      <c r="C56" s="4"/>
      <c r="D56" s="4" t="s">
        <v>547</v>
      </c>
      <c r="E56" s="5">
        <v>2332.79</v>
      </c>
      <c r="F56" s="5">
        <v>6211.3</v>
      </c>
      <c r="G56" s="5">
        <v>-3878.51</v>
      </c>
      <c r="H56" s="163">
        <v>-0.62443000000000004</v>
      </c>
    </row>
    <row r="57" spans="1:8" ht="15.75" thickBot="1">
      <c r="A57" s="4"/>
      <c r="B57" s="4"/>
      <c r="C57" s="4"/>
      <c r="D57" s="4" t="s">
        <v>461</v>
      </c>
      <c r="E57" s="164">
        <v>3526.3</v>
      </c>
      <c r="F57" s="164">
        <v>6972.99</v>
      </c>
      <c r="G57" s="164">
        <v>-3446.69</v>
      </c>
      <c r="H57" s="165">
        <v>-0.49429000000000001</v>
      </c>
    </row>
    <row r="58" spans="1:8">
      <c r="A58" s="4"/>
      <c r="B58" s="4"/>
      <c r="C58" s="4" t="s">
        <v>462</v>
      </c>
      <c r="D58" s="4"/>
      <c r="E58" s="173">
        <v>5859.09</v>
      </c>
      <c r="F58" s="5">
        <v>13184.29</v>
      </c>
      <c r="G58" s="5">
        <v>-7325.2</v>
      </c>
      <c r="H58" s="163">
        <v>-0.55559999999999998</v>
      </c>
    </row>
    <row r="59" spans="1:8">
      <c r="A59" s="4"/>
      <c r="B59" s="4"/>
      <c r="C59" s="4" t="s">
        <v>524</v>
      </c>
      <c r="D59" s="4"/>
      <c r="E59" s="5"/>
      <c r="F59" s="5"/>
      <c r="G59" s="5"/>
      <c r="H59" s="163"/>
    </row>
    <row r="60" spans="1:8">
      <c r="A60" s="4"/>
      <c r="B60" s="4"/>
      <c r="C60" s="4"/>
      <c r="D60" s="4" t="s">
        <v>525</v>
      </c>
      <c r="E60" s="5">
        <v>23154.7</v>
      </c>
      <c r="F60" s="5">
        <v>26596.44</v>
      </c>
      <c r="G60" s="5">
        <v>-3441.74</v>
      </c>
      <c r="H60" s="163">
        <v>-0.12941</v>
      </c>
    </row>
    <row r="61" spans="1:8" ht="15.75" thickBot="1">
      <c r="A61" s="4"/>
      <c r="B61" s="4"/>
      <c r="C61" s="4"/>
      <c r="D61" s="4" t="s">
        <v>698</v>
      </c>
      <c r="E61" s="174">
        <v>3495</v>
      </c>
      <c r="F61" s="164">
        <v>3500</v>
      </c>
      <c r="G61" s="164">
        <v>-5</v>
      </c>
      <c r="H61" s="165">
        <v>-1.4300000000000001E-3</v>
      </c>
    </row>
    <row r="62" spans="1:8">
      <c r="A62" s="4"/>
      <c r="B62" s="4"/>
      <c r="C62" s="4" t="s">
        <v>526</v>
      </c>
      <c r="D62" s="4"/>
      <c r="E62" s="5">
        <v>26649.7</v>
      </c>
      <c r="F62" s="5">
        <v>30096.44</v>
      </c>
      <c r="G62" s="5">
        <v>-3446.74</v>
      </c>
      <c r="H62" s="163">
        <v>-0.11452</v>
      </c>
    </row>
    <row r="63" spans="1:8">
      <c r="A63" s="4"/>
      <c r="B63" s="4"/>
      <c r="C63" s="4" t="s">
        <v>332</v>
      </c>
      <c r="D63" s="4"/>
      <c r="E63" s="5"/>
      <c r="F63" s="5"/>
      <c r="G63" s="5"/>
      <c r="H63" s="163"/>
    </row>
    <row r="64" spans="1:8">
      <c r="A64" s="4"/>
      <c r="B64" s="4"/>
      <c r="C64" s="4"/>
      <c r="D64" s="4" t="s">
        <v>333</v>
      </c>
      <c r="E64" s="5">
        <v>150</v>
      </c>
      <c r="F64" s="5">
        <v>1051</v>
      </c>
      <c r="G64" s="5">
        <v>-901</v>
      </c>
      <c r="H64" s="163">
        <v>-0.85728000000000004</v>
      </c>
    </row>
    <row r="65" spans="1:8">
      <c r="A65" s="4"/>
      <c r="B65" s="4"/>
      <c r="C65" s="4"/>
      <c r="D65" s="4" t="s">
        <v>334</v>
      </c>
      <c r="E65" s="5">
        <v>10</v>
      </c>
      <c r="F65" s="5">
        <v>20.2</v>
      </c>
      <c r="G65" s="5">
        <v>-10.199999999999999</v>
      </c>
      <c r="H65" s="163">
        <v>-0.50495000000000001</v>
      </c>
    </row>
    <row r="66" spans="1:8">
      <c r="A66" s="4"/>
      <c r="B66" s="4"/>
      <c r="C66" s="4"/>
      <c r="D66" s="4" t="s">
        <v>355</v>
      </c>
      <c r="E66" s="5">
        <v>2471</v>
      </c>
      <c r="F66" s="5">
        <v>3026</v>
      </c>
      <c r="G66" s="5">
        <v>-555</v>
      </c>
      <c r="H66" s="163">
        <v>-0.18340999999999999</v>
      </c>
    </row>
    <row r="67" spans="1:8">
      <c r="A67" s="4"/>
      <c r="B67" s="4"/>
      <c r="C67" s="4"/>
      <c r="D67" s="4" t="s">
        <v>357</v>
      </c>
      <c r="E67" s="5">
        <v>400</v>
      </c>
      <c r="F67" s="5">
        <v>290</v>
      </c>
      <c r="G67" s="5">
        <v>110</v>
      </c>
      <c r="H67" s="163">
        <v>0.37930999999999998</v>
      </c>
    </row>
    <row r="68" spans="1:8">
      <c r="A68" s="4"/>
      <c r="B68" s="4"/>
      <c r="C68" s="4"/>
      <c r="D68" s="4" t="s">
        <v>359</v>
      </c>
      <c r="E68" s="5">
        <v>2727</v>
      </c>
      <c r="F68" s="5">
        <v>2779</v>
      </c>
      <c r="G68" s="5">
        <v>-52</v>
      </c>
      <c r="H68" s="163">
        <v>-1.8710000000000001E-2</v>
      </c>
    </row>
    <row r="69" spans="1:8">
      <c r="A69" s="4"/>
      <c r="B69" s="4"/>
      <c r="C69" s="4"/>
      <c r="D69" s="4" t="s">
        <v>361</v>
      </c>
      <c r="E69" s="5">
        <v>-25</v>
      </c>
      <c r="F69" s="5">
        <v>1608</v>
      </c>
      <c r="G69" s="5">
        <v>-1633</v>
      </c>
      <c r="H69" s="163">
        <v>-1.01555</v>
      </c>
    </row>
    <row r="70" spans="1:8">
      <c r="A70" s="4"/>
      <c r="B70" s="4"/>
      <c r="C70" s="4"/>
      <c r="D70" s="4" t="s">
        <v>363</v>
      </c>
      <c r="E70" s="5">
        <v>20</v>
      </c>
      <c r="F70" s="5">
        <v>100</v>
      </c>
      <c r="G70" s="5">
        <v>-80</v>
      </c>
      <c r="H70" s="163">
        <v>-0.8</v>
      </c>
    </row>
    <row r="71" spans="1:8">
      <c r="A71" s="4"/>
      <c r="B71" s="4"/>
      <c r="C71" s="4"/>
      <c r="D71" s="4" t="s">
        <v>365</v>
      </c>
      <c r="E71" s="5">
        <v>20</v>
      </c>
      <c r="F71" s="5">
        <v>26</v>
      </c>
      <c r="G71" s="5">
        <v>-6</v>
      </c>
      <c r="H71" s="163">
        <v>-0.23077</v>
      </c>
    </row>
    <row r="72" spans="1:8">
      <c r="A72" s="4"/>
      <c r="B72" s="4"/>
      <c r="C72" s="4"/>
      <c r="D72" s="4" t="s">
        <v>565</v>
      </c>
      <c r="E72" s="5"/>
      <c r="F72" s="5"/>
      <c r="G72" s="5"/>
      <c r="H72" s="163"/>
    </row>
    <row r="73" spans="1:8">
      <c r="A73" s="4"/>
      <c r="B73" s="4"/>
      <c r="C73" s="4"/>
      <c r="D73" s="157" t="s">
        <v>638</v>
      </c>
      <c r="E73" s="5">
        <v>1089</v>
      </c>
      <c r="F73" s="5">
        <v>20</v>
      </c>
      <c r="G73" s="5">
        <v>1069</v>
      </c>
      <c r="H73" s="163">
        <v>53.45</v>
      </c>
    </row>
    <row r="74" spans="1:8" ht="15.75" thickBot="1">
      <c r="A74" s="4"/>
      <c r="B74" s="4"/>
      <c r="C74" s="4"/>
      <c r="D74" s="157" t="s">
        <v>651</v>
      </c>
      <c r="E74" s="164">
        <v>0.31</v>
      </c>
      <c r="F74" s="164">
        <v>0.31</v>
      </c>
      <c r="G74" s="164">
        <v>0</v>
      </c>
      <c r="H74" s="165">
        <v>0</v>
      </c>
    </row>
    <row r="75" spans="1:8">
      <c r="A75" s="4"/>
      <c r="B75" s="4"/>
      <c r="C75" s="4"/>
      <c r="D75" s="4" t="s">
        <v>653</v>
      </c>
      <c r="E75" s="5">
        <v>1089.31</v>
      </c>
      <c r="F75" s="5">
        <v>20.309999999999999</v>
      </c>
      <c r="G75" s="5">
        <v>1069</v>
      </c>
      <c r="H75" s="163">
        <v>52.634169999999997</v>
      </c>
    </row>
    <row r="76" spans="1:8">
      <c r="A76" s="4"/>
      <c r="B76" s="4"/>
      <c r="C76" s="4"/>
      <c r="D76" s="4" t="s">
        <v>527</v>
      </c>
      <c r="E76" s="5">
        <v>10</v>
      </c>
      <c r="F76" s="5">
        <v>35</v>
      </c>
      <c r="G76" s="5">
        <v>-25</v>
      </c>
      <c r="H76" s="163">
        <v>-0.71428999999999998</v>
      </c>
    </row>
    <row r="77" spans="1:8">
      <c r="A77" s="4"/>
      <c r="B77" s="4"/>
      <c r="C77" s="4"/>
      <c r="D77" s="4" t="s">
        <v>367</v>
      </c>
      <c r="E77" s="5">
        <v>506</v>
      </c>
      <c r="F77" s="5">
        <v>859</v>
      </c>
      <c r="G77" s="5">
        <v>-353</v>
      </c>
      <c r="H77" s="163">
        <v>-0.41094000000000003</v>
      </c>
    </row>
    <row r="78" spans="1:8">
      <c r="A78" s="4"/>
      <c r="B78" s="4"/>
      <c r="C78" s="4"/>
      <c r="D78" s="4" t="s">
        <v>369</v>
      </c>
      <c r="E78" s="5">
        <v>5</v>
      </c>
      <c r="F78" s="5">
        <v>50</v>
      </c>
      <c r="G78" s="5">
        <v>-45</v>
      </c>
      <c r="H78" s="163">
        <v>-0.9</v>
      </c>
    </row>
    <row r="79" spans="1:8" ht="15.75" thickBot="1">
      <c r="A79" s="4"/>
      <c r="B79" s="4"/>
      <c r="C79" s="4"/>
      <c r="D79" s="4" t="s">
        <v>335</v>
      </c>
      <c r="E79" s="5">
        <v>40</v>
      </c>
      <c r="F79" s="5">
        <v>50</v>
      </c>
      <c r="G79" s="5">
        <v>-10</v>
      </c>
      <c r="H79" s="163">
        <v>-0.2</v>
      </c>
    </row>
    <row r="80" spans="1:8" ht="15.75" thickBot="1">
      <c r="A80" s="4"/>
      <c r="B80" s="4"/>
      <c r="C80" s="4" t="s">
        <v>336</v>
      </c>
      <c r="D80" s="4"/>
      <c r="E80" s="168">
        <v>7423.31</v>
      </c>
      <c r="F80" s="168">
        <v>9914.51</v>
      </c>
      <c r="G80" s="168">
        <v>-2491.1999999999998</v>
      </c>
      <c r="H80" s="169">
        <v>-0.25126999999999999</v>
      </c>
    </row>
    <row r="81" spans="1:8" ht="15.75" thickBot="1">
      <c r="A81" s="4"/>
      <c r="B81" s="4" t="s">
        <v>337</v>
      </c>
      <c r="C81" s="4"/>
      <c r="D81" s="4"/>
      <c r="E81" s="168">
        <v>42021.15</v>
      </c>
      <c r="F81" s="168">
        <v>56294.29</v>
      </c>
      <c r="G81" s="168">
        <v>-14273.14</v>
      </c>
      <c r="H81" s="169">
        <v>-0.25355</v>
      </c>
    </row>
    <row r="82" spans="1:8" ht="15.75" thickBot="1">
      <c r="A82" s="4" t="s">
        <v>338</v>
      </c>
      <c r="B82" s="4"/>
      <c r="C82" s="4"/>
      <c r="D82" s="4"/>
      <c r="E82" s="166">
        <v>130514.59</v>
      </c>
      <c r="F82" s="166">
        <v>172912.26</v>
      </c>
      <c r="G82" s="166">
        <v>-42397.67</v>
      </c>
      <c r="H82" s="167">
        <v>-0.2452</v>
      </c>
    </row>
    <row r="83" spans="1:8">
      <c r="A83" s="158" t="s">
        <v>339</v>
      </c>
      <c r="B83" s="4"/>
      <c r="C83" s="4"/>
      <c r="D83" s="4"/>
      <c r="E83" s="5">
        <v>130514.59</v>
      </c>
      <c r="F83" s="5">
        <v>172912.26</v>
      </c>
      <c r="G83" s="5">
        <v>-42397.67</v>
      </c>
      <c r="H83" s="163">
        <v>-0.2452</v>
      </c>
    </row>
    <row r="84" spans="1:8">
      <c r="A84" s="158" t="s">
        <v>340</v>
      </c>
      <c r="B84" s="4"/>
      <c r="C84" s="4"/>
      <c r="D84" s="4"/>
      <c r="E84" s="5"/>
      <c r="F84" s="5"/>
      <c r="G84" s="5"/>
      <c r="H84" s="163"/>
    </row>
    <row r="85" spans="1:8">
      <c r="A85" s="4" t="s">
        <v>341</v>
      </c>
      <c r="B85" s="4"/>
      <c r="C85" s="4"/>
      <c r="D85" s="4"/>
      <c r="E85" s="5">
        <v>-673758.93</v>
      </c>
      <c r="F85" s="5">
        <v>-673907.14</v>
      </c>
      <c r="G85" s="5">
        <v>148.21</v>
      </c>
      <c r="H85" s="163">
        <v>2.2000000000000001E-4</v>
      </c>
    </row>
    <row r="86" spans="1:8">
      <c r="A86" s="4" t="s">
        <v>528</v>
      </c>
      <c r="B86" s="4"/>
      <c r="C86" s="4"/>
      <c r="D86" s="4"/>
      <c r="E86" s="5">
        <v>1090796.95</v>
      </c>
      <c r="F86" s="5">
        <v>1050039.8400000001</v>
      </c>
      <c r="G86" s="5">
        <v>40757.11</v>
      </c>
      <c r="H86" s="163">
        <v>3.8809999999999997E-2</v>
      </c>
    </row>
    <row r="87" spans="1:8" ht="15.75" thickBot="1">
      <c r="A87" s="4" t="s">
        <v>265</v>
      </c>
      <c r="B87" s="4"/>
      <c r="C87" s="4"/>
      <c r="D87" s="4"/>
      <c r="E87" s="5">
        <v>31637.15</v>
      </c>
      <c r="F87" s="5">
        <v>40757.11</v>
      </c>
      <c r="G87" s="5">
        <v>-9119.9599999999991</v>
      </c>
      <c r="H87" s="163">
        <v>-0.22375999999999999</v>
      </c>
    </row>
    <row r="88" spans="1:8" ht="15.75" thickBot="1">
      <c r="A88" s="158" t="s">
        <v>343</v>
      </c>
      <c r="B88" s="4"/>
      <c r="C88" s="4"/>
      <c r="D88" s="4"/>
      <c r="E88" s="168">
        <v>448675.17</v>
      </c>
      <c r="F88" s="168">
        <v>416889.81</v>
      </c>
      <c r="G88" s="168">
        <v>31785.360000000001</v>
      </c>
      <c r="H88" s="169">
        <v>7.6240000000000002E-2</v>
      </c>
    </row>
    <row r="89" spans="1:8" ht="15.75" thickBot="1">
      <c r="A89" s="158" t="s">
        <v>58</v>
      </c>
      <c r="B89" s="4"/>
      <c r="C89" s="4"/>
      <c r="D89" s="4"/>
      <c r="E89" s="170">
        <v>579189.76000000001</v>
      </c>
      <c r="F89" s="170">
        <v>589802.06999999995</v>
      </c>
      <c r="G89" s="170">
        <v>-10612.31</v>
      </c>
      <c r="H89" s="171">
        <v>-1.7989999999999999E-2</v>
      </c>
    </row>
    <row r="90" spans="1:8" ht="15.75" thickTop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62801-6F49-4922-B64D-5640DEE63DF5}">
  <sheetPr>
    <tabColor theme="0" tint="-0.499984740745262"/>
    <pageSetUpPr fitToPage="1"/>
  </sheetPr>
  <dimension ref="A1:J84"/>
  <sheetViews>
    <sheetView workbookViewId="0">
      <pane ySplit="1" topLeftCell="A55" activePane="bottomLeft" state="frozen"/>
      <selection activeCell="G163" sqref="G163"/>
      <selection pane="bottomLeft" activeCell="G163" sqref="G163"/>
    </sheetView>
  </sheetViews>
  <sheetFormatPr defaultRowHeight="15"/>
  <cols>
    <col min="1" max="1" width="28.28515625" style="114" bestFit="1" customWidth="1"/>
    <col min="2" max="2" width="29.85546875" style="114" bestFit="1" customWidth="1"/>
    <col min="3" max="4" width="31.5703125" style="114" bestFit="1" customWidth="1"/>
    <col min="5" max="7" width="9.85546875" style="113" bestFit="1" customWidth="1"/>
    <col min="8" max="8" width="8.7109375" style="113" bestFit="1" customWidth="1"/>
    <col min="9" max="16384" width="9.140625" style="113"/>
  </cols>
  <sheetData>
    <row r="1" spans="1:10" ht="15.75" thickBot="1">
      <c r="A1" s="115"/>
      <c r="B1" s="115"/>
      <c r="C1" s="115"/>
      <c r="D1" s="115"/>
      <c r="E1" s="116"/>
      <c r="F1" s="116"/>
      <c r="G1" s="116"/>
    </row>
    <row r="2" spans="1:10" s="117" customFormat="1" ht="16.5" thickTop="1" thickBot="1">
      <c r="A2" s="118"/>
      <c r="B2" s="118"/>
      <c r="C2" s="118"/>
      <c r="D2" s="118"/>
      <c r="E2" s="136" t="s">
        <v>561</v>
      </c>
      <c r="F2" s="136" t="s">
        <v>545</v>
      </c>
      <c r="G2" s="136" t="s">
        <v>374</v>
      </c>
    </row>
    <row r="3" spans="1:10" ht="15.75" thickTop="1">
      <c r="A3" s="132" t="s">
        <v>46</v>
      </c>
      <c r="B3" s="115"/>
      <c r="C3" s="115"/>
      <c r="D3" s="115"/>
      <c r="E3" s="119"/>
      <c r="F3" s="119"/>
      <c r="G3" s="119"/>
    </row>
    <row r="4" spans="1:10">
      <c r="A4" s="132" t="s">
        <v>311</v>
      </c>
      <c r="B4" s="115"/>
      <c r="C4" s="115"/>
      <c r="D4" s="115"/>
      <c r="E4" s="119"/>
      <c r="F4" s="119"/>
      <c r="G4" s="119"/>
    </row>
    <row r="5" spans="1:10">
      <c r="A5" s="115" t="s">
        <v>312</v>
      </c>
      <c r="B5" s="115"/>
      <c r="C5" s="115"/>
      <c r="D5" s="115"/>
      <c r="E5" s="119"/>
      <c r="F5" s="119"/>
      <c r="G5" s="119"/>
    </row>
    <row r="6" spans="1:10">
      <c r="A6" s="115"/>
      <c r="B6" s="115" t="s">
        <v>313</v>
      </c>
      <c r="C6" s="115"/>
      <c r="D6" s="115"/>
      <c r="E6" s="119"/>
      <c r="F6" s="119"/>
      <c r="G6" s="119"/>
    </row>
    <row r="7" spans="1:10">
      <c r="A7" s="115"/>
      <c r="B7" s="115"/>
      <c r="C7" s="115" t="s">
        <v>314</v>
      </c>
      <c r="D7" s="115"/>
      <c r="E7" s="137"/>
      <c r="F7" s="137"/>
      <c r="G7" s="137"/>
      <c r="H7" s="138"/>
      <c r="I7" s="138"/>
      <c r="J7" s="138"/>
    </row>
    <row r="8" spans="1:10">
      <c r="A8" s="115"/>
      <c r="B8" s="115"/>
      <c r="C8" s="115"/>
      <c r="D8" s="115" t="s">
        <v>315</v>
      </c>
      <c r="E8" s="137">
        <v>6379.62</v>
      </c>
      <c r="F8" s="137">
        <v>5590.15</v>
      </c>
      <c r="G8" s="137">
        <f t="shared" ref="G8:G13" si="0">ROUND((E8-F8),5)</f>
        <v>789.47</v>
      </c>
      <c r="H8" s="138"/>
      <c r="I8" s="138"/>
      <c r="J8" s="138"/>
    </row>
    <row r="9" spans="1:10">
      <c r="A9" s="115"/>
      <c r="B9" s="115"/>
      <c r="C9" s="115"/>
      <c r="D9" s="115" t="s">
        <v>451</v>
      </c>
      <c r="E9" s="137">
        <v>2399.92</v>
      </c>
      <c r="F9" s="137">
        <v>2054.0100000000002</v>
      </c>
      <c r="G9" s="137">
        <f t="shared" si="0"/>
        <v>345.91</v>
      </c>
      <c r="H9" s="138"/>
      <c r="I9" s="138"/>
      <c r="J9" s="138"/>
    </row>
    <row r="10" spans="1:10">
      <c r="A10" s="115"/>
      <c r="B10" s="115"/>
      <c r="C10" s="115"/>
      <c r="D10" s="115" t="s">
        <v>514</v>
      </c>
      <c r="E10" s="137">
        <v>296639.84999999998</v>
      </c>
      <c r="F10" s="137">
        <v>272265.76</v>
      </c>
      <c r="G10" s="137">
        <f t="shared" si="0"/>
        <v>24374.09</v>
      </c>
      <c r="H10" s="138"/>
      <c r="I10" s="138"/>
      <c r="J10" s="138"/>
    </row>
    <row r="11" spans="1:10">
      <c r="A11" s="115"/>
      <c r="B11" s="115"/>
      <c r="C11" s="115"/>
      <c r="D11" s="115" t="s">
        <v>562</v>
      </c>
      <c r="E11" s="137">
        <v>1001.3</v>
      </c>
      <c r="F11" s="137">
        <v>1001.3</v>
      </c>
      <c r="G11" s="137">
        <f t="shared" si="0"/>
        <v>0</v>
      </c>
      <c r="H11" s="138"/>
      <c r="I11" s="138"/>
      <c r="J11" s="138"/>
    </row>
    <row r="12" spans="1:10" ht="15.75" thickBot="1">
      <c r="A12" s="115"/>
      <c r="B12" s="115"/>
      <c r="C12" s="115"/>
      <c r="D12" s="115" t="s">
        <v>318</v>
      </c>
      <c r="E12" s="139">
        <v>8509.86</v>
      </c>
      <c r="F12" s="139">
        <v>8509.86</v>
      </c>
      <c r="G12" s="139">
        <f t="shared" si="0"/>
        <v>0</v>
      </c>
      <c r="H12" s="138"/>
      <c r="I12" s="138"/>
      <c r="J12" s="138"/>
    </row>
    <row r="13" spans="1:10">
      <c r="A13" s="115"/>
      <c r="B13" s="115"/>
      <c r="C13" s="115" t="s">
        <v>319</v>
      </c>
      <c r="D13" s="115"/>
      <c r="E13" s="137">
        <f>ROUND(SUM(E7:E12),5)</f>
        <v>314930.55</v>
      </c>
      <c r="F13" s="137">
        <f>ROUND(SUM(F7:F12),5)</f>
        <v>289421.08</v>
      </c>
      <c r="G13" s="137">
        <f t="shared" si="0"/>
        <v>25509.47</v>
      </c>
      <c r="H13" s="138"/>
      <c r="I13" s="138"/>
      <c r="J13" s="138"/>
    </row>
    <row r="14" spans="1:10">
      <c r="A14" s="115"/>
      <c r="B14" s="115"/>
      <c r="C14" s="115" t="s">
        <v>515</v>
      </c>
      <c r="D14" s="115"/>
      <c r="E14" s="137"/>
      <c r="F14" s="137"/>
      <c r="G14" s="137"/>
      <c r="H14" s="138"/>
      <c r="I14" s="138"/>
      <c r="J14" s="138"/>
    </row>
    <row r="15" spans="1:10" ht="15.75" thickBot="1">
      <c r="A15" s="115"/>
      <c r="B15" s="115"/>
      <c r="C15" s="115"/>
      <c r="D15" s="115" t="s">
        <v>516</v>
      </c>
      <c r="E15" s="139">
        <v>203248.71</v>
      </c>
      <c r="F15" s="139">
        <v>203147.11</v>
      </c>
      <c r="G15" s="139">
        <f>ROUND((E15-F15),5)</f>
        <v>101.6</v>
      </c>
      <c r="H15" s="138"/>
      <c r="I15" s="138"/>
      <c r="J15" s="138"/>
    </row>
    <row r="16" spans="1:10">
      <c r="A16" s="115"/>
      <c r="B16" s="115"/>
      <c r="C16" s="115" t="s">
        <v>517</v>
      </c>
      <c r="D16" s="115"/>
      <c r="E16" s="137">
        <f>ROUND(SUM(E14:E15),5)</f>
        <v>203248.71</v>
      </c>
      <c r="F16" s="137">
        <f>ROUND(SUM(F14:F15),5)</f>
        <v>203147.11</v>
      </c>
      <c r="G16" s="137">
        <f>ROUND((E16-F16),5)</f>
        <v>101.6</v>
      </c>
      <c r="H16" s="138"/>
      <c r="I16" s="138"/>
      <c r="J16" s="138"/>
    </row>
    <row r="17" spans="1:10">
      <c r="A17" s="115"/>
      <c r="B17" s="115"/>
      <c r="C17" s="115" t="s">
        <v>518</v>
      </c>
      <c r="D17" s="115"/>
      <c r="E17" s="137"/>
      <c r="F17" s="137"/>
      <c r="G17" s="137"/>
      <c r="H17" s="138"/>
      <c r="I17" s="138"/>
      <c r="J17" s="138"/>
    </row>
    <row r="18" spans="1:10">
      <c r="A18" s="115"/>
      <c r="B18" s="115"/>
      <c r="C18" s="115"/>
      <c r="D18" s="115" t="s">
        <v>519</v>
      </c>
      <c r="E18" s="137"/>
      <c r="F18" s="137"/>
      <c r="G18" s="137"/>
      <c r="H18" s="138"/>
      <c r="I18" s="138"/>
      <c r="J18" s="138"/>
    </row>
    <row r="19" spans="1:10">
      <c r="A19" s="115"/>
      <c r="B19" s="115"/>
      <c r="C19" s="115"/>
      <c r="D19" s="140" t="s">
        <v>520</v>
      </c>
      <c r="E19" s="137"/>
      <c r="F19" s="137"/>
      <c r="G19" s="137"/>
      <c r="H19" s="138"/>
      <c r="I19" s="138"/>
      <c r="J19" s="138"/>
    </row>
    <row r="20" spans="1:10">
      <c r="A20" s="115"/>
      <c r="B20" s="115"/>
      <c r="C20" s="115"/>
      <c r="D20" s="140" t="s">
        <v>322</v>
      </c>
      <c r="E20" s="137">
        <v>328.1</v>
      </c>
      <c r="F20" s="137">
        <v>328.1</v>
      </c>
      <c r="G20" s="137">
        <f t="shared" ref="G20:G26" si="1">ROUND((E20-F20),5)</f>
        <v>0</v>
      </c>
      <c r="H20" s="138"/>
      <c r="I20" s="138"/>
      <c r="J20" s="138"/>
    </row>
    <row r="21" spans="1:10" ht="15.75" thickBot="1">
      <c r="A21" s="115"/>
      <c r="B21" s="115"/>
      <c r="C21" s="115"/>
      <c r="D21" s="140" t="s">
        <v>563</v>
      </c>
      <c r="E21" s="137">
        <v>0.17</v>
      </c>
      <c r="F21" s="137">
        <v>0</v>
      </c>
      <c r="G21" s="137">
        <f t="shared" si="1"/>
        <v>0.17</v>
      </c>
      <c r="H21" s="138"/>
      <c r="I21" s="138"/>
      <c r="J21" s="138"/>
    </row>
    <row r="22" spans="1:10" ht="15.75" thickBot="1">
      <c r="A22" s="115"/>
      <c r="B22" s="115"/>
      <c r="C22" s="115"/>
      <c r="D22" s="140" t="s">
        <v>521</v>
      </c>
      <c r="E22" s="141">
        <f>ROUND(SUM(E19:E21),5)</f>
        <v>328.27</v>
      </c>
      <c r="F22" s="141">
        <f>ROUND(SUM(F19:F21),5)</f>
        <v>328.1</v>
      </c>
      <c r="G22" s="141">
        <f t="shared" si="1"/>
        <v>0.17</v>
      </c>
      <c r="H22" s="138"/>
      <c r="I22" s="138"/>
      <c r="J22" s="138"/>
    </row>
    <row r="23" spans="1:10" ht="15.75" thickBot="1">
      <c r="A23" s="115"/>
      <c r="B23" s="115"/>
      <c r="C23" s="115"/>
      <c r="D23" s="115" t="s">
        <v>522</v>
      </c>
      <c r="E23" s="141">
        <f>ROUND(E18+E22,5)</f>
        <v>328.27</v>
      </c>
      <c r="F23" s="141">
        <f>ROUND(F18+F22,5)</f>
        <v>328.1</v>
      </c>
      <c r="G23" s="141">
        <f t="shared" si="1"/>
        <v>0.17</v>
      </c>
      <c r="H23" s="138"/>
      <c r="I23" s="138"/>
      <c r="J23" s="138"/>
    </row>
    <row r="24" spans="1:10" ht="15.75" thickBot="1">
      <c r="A24" s="115"/>
      <c r="B24" s="115"/>
      <c r="C24" s="115" t="s">
        <v>523</v>
      </c>
      <c r="D24" s="115"/>
      <c r="E24" s="141">
        <f>ROUND(E17+E23,5)</f>
        <v>328.27</v>
      </c>
      <c r="F24" s="141">
        <f>ROUND(F17+F23,5)</f>
        <v>328.1</v>
      </c>
      <c r="G24" s="141">
        <f t="shared" si="1"/>
        <v>0.17</v>
      </c>
      <c r="H24" s="138"/>
      <c r="I24" s="138"/>
      <c r="J24" s="138"/>
    </row>
    <row r="25" spans="1:10" ht="15.75" thickBot="1">
      <c r="A25" s="115"/>
      <c r="B25" s="115" t="s">
        <v>320</v>
      </c>
      <c r="C25" s="115"/>
      <c r="D25" s="115"/>
      <c r="E25" s="142">
        <f>ROUND(E6+E13+E16+E24,5)</f>
        <v>518507.53</v>
      </c>
      <c r="F25" s="142">
        <f>ROUND(F6+F13+F16+F24,5)</f>
        <v>492896.29</v>
      </c>
      <c r="G25" s="142">
        <f t="shared" si="1"/>
        <v>25611.24</v>
      </c>
      <c r="H25" s="138"/>
      <c r="I25" s="138"/>
      <c r="J25" s="138"/>
    </row>
    <row r="26" spans="1:10">
      <c r="A26" s="115" t="s">
        <v>324</v>
      </c>
      <c r="B26" s="115"/>
      <c r="C26" s="115"/>
      <c r="D26" s="115"/>
      <c r="E26" s="137">
        <f>ROUND(E5+E25,5)</f>
        <v>518507.53</v>
      </c>
      <c r="F26" s="137">
        <f>ROUND(F5+F25,5)</f>
        <v>492896.29</v>
      </c>
      <c r="G26" s="137">
        <f t="shared" si="1"/>
        <v>25611.24</v>
      </c>
      <c r="H26" s="138"/>
      <c r="I26" s="138"/>
      <c r="J26" s="138"/>
    </row>
    <row r="27" spans="1:10">
      <c r="A27" s="115" t="s">
        <v>325</v>
      </c>
      <c r="B27" s="115"/>
      <c r="C27" s="115"/>
      <c r="D27" s="115"/>
      <c r="E27" s="137"/>
      <c r="F27" s="137"/>
      <c r="G27" s="137"/>
      <c r="H27" s="138"/>
      <c r="I27" s="138"/>
      <c r="J27" s="138"/>
    </row>
    <row r="28" spans="1:10">
      <c r="A28" s="115"/>
      <c r="B28" s="115" t="s">
        <v>326</v>
      </c>
      <c r="C28" s="115"/>
      <c r="D28" s="115"/>
      <c r="E28" s="137">
        <v>20645.25</v>
      </c>
      <c r="F28" s="137">
        <v>21548.84</v>
      </c>
      <c r="G28" s="137">
        <f>ROUND((E28-F28),5)</f>
        <v>-903.59</v>
      </c>
      <c r="H28" s="138"/>
      <c r="I28" s="138"/>
      <c r="J28" s="138"/>
    </row>
    <row r="29" spans="1:10" ht="15.75" thickBot="1">
      <c r="A29" s="115"/>
      <c r="B29" s="115" t="s">
        <v>546</v>
      </c>
      <c r="C29" s="115"/>
      <c r="D29" s="115"/>
      <c r="E29" s="137">
        <v>-186.54</v>
      </c>
      <c r="F29" s="137">
        <v>92.8</v>
      </c>
      <c r="G29" s="137">
        <f>ROUND((E29-F29),5)</f>
        <v>-279.33999999999997</v>
      </c>
      <c r="H29" s="138"/>
      <c r="I29" s="138"/>
      <c r="J29" s="138"/>
    </row>
    <row r="30" spans="1:10" ht="15.75" thickBot="1">
      <c r="A30" s="115" t="s">
        <v>327</v>
      </c>
      <c r="B30" s="115"/>
      <c r="C30" s="115"/>
      <c r="D30" s="115"/>
      <c r="E30" s="141">
        <f>ROUND(SUM(E27:E29),5)</f>
        <v>20458.71</v>
      </c>
      <c r="F30" s="141">
        <f>ROUND(SUM(F27:F29),5)</f>
        <v>21641.64</v>
      </c>
      <c r="G30" s="141">
        <f>ROUND((E30-F30),5)</f>
        <v>-1182.93</v>
      </c>
      <c r="H30" s="138"/>
      <c r="I30" s="138"/>
      <c r="J30" s="138"/>
    </row>
    <row r="31" spans="1:10" ht="15.75" thickBot="1">
      <c r="A31" s="115" t="s">
        <v>328</v>
      </c>
      <c r="B31" s="115"/>
      <c r="C31" s="115"/>
      <c r="D31" s="115"/>
      <c r="E31" s="141">
        <f>ROUND(E4+E26+E30,5)</f>
        <v>538966.24</v>
      </c>
      <c r="F31" s="141">
        <f>ROUND(F4+F26+F30,5)</f>
        <v>514537.93</v>
      </c>
      <c r="G31" s="141">
        <f>ROUND((E31-F31),5)</f>
        <v>24428.31</v>
      </c>
      <c r="H31" s="138"/>
      <c r="I31" s="138"/>
      <c r="J31" s="138"/>
    </row>
    <row r="32" spans="1:10" s="114" customFormat="1" ht="12" thickBot="1">
      <c r="A32" s="132" t="s">
        <v>52</v>
      </c>
      <c r="B32" s="115"/>
      <c r="C32" s="115"/>
      <c r="D32" s="115"/>
      <c r="E32" s="143">
        <f>ROUND(E3+E31,5)</f>
        <v>538966.24</v>
      </c>
      <c r="F32" s="143">
        <f>ROUND(F3+F31,5)</f>
        <v>514537.93</v>
      </c>
      <c r="G32" s="143">
        <f>ROUND((E32-F32),5)</f>
        <v>24428.31</v>
      </c>
      <c r="H32" s="144"/>
      <c r="I32" s="144"/>
      <c r="J32" s="144"/>
    </row>
    <row r="33" spans="1:10" ht="15.75" thickTop="1">
      <c r="A33" s="128" t="s">
        <v>53</v>
      </c>
      <c r="B33" s="115"/>
      <c r="C33" s="115"/>
      <c r="D33" s="115"/>
      <c r="E33" s="137"/>
      <c r="F33" s="137"/>
      <c r="G33" s="137"/>
      <c r="H33" s="138"/>
      <c r="I33" s="138"/>
      <c r="J33" s="138"/>
    </row>
    <row r="34" spans="1:10">
      <c r="A34" s="128" t="s">
        <v>329</v>
      </c>
      <c r="B34" s="115"/>
      <c r="C34" s="115"/>
      <c r="D34" s="115"/>
      <c r="E34" s="137"/>
      <c r="F34" s="137"/>
      <c r="G34" s="137"/>
      <c r="H34" s="138"/>
      <c r="I34" s="138"/>
      <c r="J34" s="138"/>
    </row>
    <row r="35" spans="1:10">
      <c r="A35" s="115" t="s">
        <v>330</v>
      </c>
      <c r="B35" s="115"/>
      <c r="C35" s="115"/>
      <c r="D35" s="115"/>
      <c r="E35" s="137"/>
      <c r="F35" s="137"/>
      <c r="G35" s="137"/>
      <c r="H35" s="138"/>
      <c r="I35" s="138"/>
      <c r="J35" s="138"/>
    </row>
    <row r="36" spans="1:10">
      <c r="A36" s="115"/>
      <c r="B36" s="115" t="s">
        <v>452</v>
      </c>
      <c r="C36" s="115"/>
      <c r="D36" s="115"/>
      <c r="E36" s="137"/>
      <c r="F36" s="137"/>
      <c r="G36" s="137"/>
      <c r="H36" s="138"/>
      <c r="I36" s="138"/>
      <c r="J36" s="138"/>
    </row>
    <row r="37" spans="1:10">
      <c r="A37" s="115"/>
      <c r="B37" s="115"/>
      <c r="C37" s="115" t="s">
        <v>453</v>
      </c>
      <c r="D37" s="115"/>
      <c r="E37" s="137"/>
      <c r="F37" s="137"/>
      <c r="G37" s="137"/>
      <c r="H37" s="138"/>
      <c r="I37" s="138"/>
      <c r="J37" s="138"/>
    </row>
    <row r="38" spans="1:10">
      <c r="A38" s="115"/>
      <c r="B38" s="115"/>
      <c r="C38" s="115"/>
      <c r="D38" s="115" t="s">
        <v>474</v>
      </c>
      <c r="E38" s="137"/>
      <c r="F38" s="137"/>
      <c r="G38" s="137"/>
      <c r="H38" s="138"/>
      <c r="I38" s="138"/>
      <c r="J38" s="138"/>
    </row>
    <row r="39" spans="1:10" ht="15.75" thickBot="1">
      <c r="A39" s="115"/>
      <c r="B39" s="115"/>
      <c r="C39" s="115"/>
      <c r="D39" s="140" t="s">
        <v>475</v>
      </c>
      <c r="E39" s="139">
        <v>125556.77</v>
      </c>
      <c r="F39" s="139">
        <v>143556.76999999999</v>
      </c>
      <c r="G39" s="139">
        <f>ROUND((E39-F39),5)</f>
        <v>-18000</v>
      </c>
      <c r="H39" s="138"/>
      <c r="I39" s="138"/>
      <c r="J39" s="138"/>
    </row>
    <row r="40" spans="1:10">
      <c r="A40" s="115"/>
      <c r="B40" s="115"/>
      <c r="C40" s="115"/>
      <c r="D40" s="115" t="s">
        <v>476</v>
      </c>
      <c r="E40" s="137">
        <f>ROUND(SUM(E38:E39),5)</f>
        <v>125556.77</v>
      </c>
      <c r="F40" s="137">
        <f>ROUND(SUM(F38:F39),5)</f>
        <v>143556.76999999999</v>
      </c>
      <c r="G40" s="137">
        <f>ROUND((E40-F40),5)</f>
        <v>-18000</v>
      </c>
      <c r="H40" s="138"/>
      <c r="I40" s="138"/>
      <c r="J40" s="138"/>
    </row>
    <row r="41" spans="1:10" ht="15.75" thickBot="1">
      <c r="A41" s="115"/>
      <c r="B41" s="115"/>
      <c r="C41" s="115"/>
      <c r="D41" s="115" t="s">
        <v>458</v>
      </c>
      <c r="E41" s="137">
        <v>-2532.71</v>
      </c>
      <c r="F41" s="137">
        <v>21959.200000000001</v>
      </c>
      <c r="G41" s="137">
        <f>ROUND((E41-F41),5)</f>
        <v>-24491.91</v>
      </c>
      <c r="H41" s="138"/>
      <c r="I41" s="138"/>
      <c r="J41" s="138"/>
    </row>
    <row r="42" spans="1:10" ht="15.75" thickBot="1">
      <c r="A42" s="115"/>
      <c r="B42" s="115"/>
      <c r="C42" s="115" t="s">
        <v>459</v>
      </c>
      <c r="D42" s="115"/>
      <c r="E42" s="142">
        <f>ROUND(E37+SUM(E40:E41),5)</f>
        <v>123024.06</v>
      </c>
      <c r="F42" s="142">
        <f>ROUND(F37+SUM(F40:F41),5)</f>
        <v>165515.97</v>
      </c>
      <c r="G42" s="142">
        <f>ROUND((E42-F42),5)</f>
        <v>-42491.91</v>
      </c>
      <c r="H42" s="138"/>
      <c r="I42" s="138"/>
      <c r="J42" s="138"/>
    </row>
    <row r="43" spans="1:10">
      <c r="A43" s="115"/>
      <c r="B43" s="115" t="s">
        <v>454</v>
      </c>
      <c r="C43" s="115"/>
      <c r="D43" s="115"/>
      <c r="E43" s="137">
        <f>ROUND(E36+E42,5)</f>
        <v>123024.06</v>
      </c>
      <c r="F43" s="137">
        <f>ROUND(F36+F42,5)</f>
        <v>165515.97</v>
      </c>
      <c r="G43" s="137">
        <f>ROUND((E43-F43),5)</f>
        <v>-42491.91</v>
      </c>
      <c r="H43" s="138"/>
      <c r="I43" s="138"/>
      <c r="J43" s="138"/>
    </row>
    <row r="44" spans="1:10">
      <c r="A44" s="115"/>
      <c r="B44" s="115" t="s">
        <v>331</v>
      </c>
      <c r="C44" s="115"/>
      <c r="D44" s="115"/>
      <c r="E44" s="137"/>
      <c r="F44" s="137"/>
      <c r="G44" s="137"/>
      <c r="H44" s="138"/>
      <c r="I44" s="138"/>
      <c r="J44" s="138"/>
    </row>
    <row r="45" spans="1:10">
      <c r="A45" s="115"/>
      <c r="B45" s="115"/>
      <c r="C45" s="115" t="s">
        <v>455</v>
      </c>
      <c r="D45" s="115"/>
      <c r="E45" s="137">
        <v>1774.05</v>
      </c>
      <c r="F45" s="137">
        <v>1639.05</v>
      </c>
      <c r="G45" s="137">
        <f>ROUND((E45-F45),5)</f>
        <v>135</v>
      </c>
      <c r="H45" s="138"/>
      <c r="I45" s="138"/>
      <c r="J45" s="138"/>
    </row>
    <row r="46" spans="1:10">
      <c r="A46" s="115"/>
      <c r="B46" s="115"/>
      <c r="C46" s="115" t="s">
        <v>460</v>
      </c>
      <c r="D46" s="115"/>
      <c r="E46" s="137"/>
      <c r="F46" s="137"/>
      <c r="G46" s="137"/>
      <c r="H46" s="138"/>
      <c r="I46" s="138"/>
      <c r="J46" s="138"/>
    </row>
    <row r="47" spans="1:10">
      <c r="A47" s="115"/>
      <c r="B47" s="115"/>
      <c r="C47" s="115"/>
      <c r="D47" s="115" t="s">
        <v>547</v>
      </c>
      <c r="E47" s="137">
        <v>2663.75</v>
      </c>
      <c r="F47" s="137">
        <v>272.75</v>
      </c>
      <c r="G47" s="137">
        <f>ROUND((E47-F47),5)</f>
        <v>2391</v>
      </c>
      <c r="H47" s="138"/>
      <c r="I47" s="138"/>
      <c r="J47" s="138"/>
    </row>
    <row r="48" spans="1:10" ht="15.75" thickBot="1">
      <c r="A48" s="115"/>
      <c r="B48" s="115"/>
      <c r="C48" s="115"/>
      <c r="D48" s="115" t="s">
        <v>461</v>
      </c>
      <c r="E48" s="139">
        <v>5222.13</v>
      </c>
      <c r="F48" s="139">
        <v>8686.1299999999992</v>
      </c>
      <c r="G48" s="139">
        <f>ROUND((E48-F48),5)</f>
        <v>-3464</v>
      </c>
      <c r="H48" s="138"/>
      <c r="I48" s="138"/>
      <c r="J48" s="138"/>
    </row>
    <row r="49" spans="1:10">
      <c r="A49" s="115"/>
      <c r="B49" s="115"/>
      <c r="C49" s="115" t="s">
        <v>462</v>
      </c>
      <c r="D49" s="115"/>
      <c r="E49" s="137">
        <f>ROUND(SUM(E46:E48),5)</f>
        <v>7885.88</v>
      </c>
      <c r="F49" s="137">
        <f>ROUND(SUM(F46:F48),5)</f>
        <v>8958.8799999999992</v>
      </c>
      <c r="G49" s="137">
        <f>ROUND((E49-F49),5)</f>
        <v>-1073</v>
      </c>
      <c r="H49" s="138"/>
      <c r="I49" s="138"/>
      <c r="J49" s="138"/>
    </row>
    <row r="50" spans="1:10">
      <c r="A50" s="115"/>
      <c r="B50" s="115"/>
      <c r="C50" s="115" t="s">
        <v>524</v>
      </c>
      <c r="D50" s="115"/>
      <c r="E50" s="137"/>
      <c r="F50" s="137"/>
      <c r="G50" s="137"/>
      <c r="H50" s="138"/>
      <c r="I50" s="138"/>
      <c r="J50" s="138"/>
    </row>
    <row r="51" spans="1:10" ht="15.75" thickBot="1">
      <c r="A51" s="115"/>
      <c r="B51" s="115"/>
      <c r="C51" s="115"/>
      <c r="D51" s="115" t="s">
        <v>525</v>
      </c>
      <c r="E51" s="139">
        <v>0.7</v>
      </c>
      <c r="F51" s="139">
        <v>0.7</v>
      </c>
      <c r="G51" s="139">
        <f>ROUND((E51-F51),5)</f>
        <v>0</v>
      </c>
      <c r="H51" s="138"/>
      <c r="I51" s="138"/>
      <c r="J51" s="138"/>
    </row>
    <row r="52" spans="1:10">
      <c r="A52" s="115"/>
      <c r="B52" s="115"/>
      <c r="C52" s="115" t="s">
        <v>526</v>
      </c>
      <c r="D52" s="115"/>
      <c r="E52" s="137">
        <f>ROUND(SUM(E50:E51),5)</f>
        <v>0.7</v>
      </c>
      <c r="F52" s="137">
        <f>ROUND(SUM(F50:F51),5)</f>
        <v>0.7</v>
      </c>
      <c r="G52" s="137">
        <f>ROUND((E52-F52),5)</f>
        <v>0</v>
      </c>
      <c r="H52" s="138"/>
      <c r="I52" s="138"/>
      <c r="J52" s="138"/>
    </row>
    <row r="53" spans="1:10">
      <c r="A53" s="115"/>
      <c r="B53" s="115"/>
      <c r="C53" s="115" t="s">
        <v>332</v>
      </c>
      <c r="D53" s="115"/>
      <c r="E53" s="137"/>
      <c r="F53" s="137"/>
      <c r="G53" s="137"/>
      <c r="H53" s="138"/>
      <c r="I53" s="138"/>
      <c r="J53" s="138"/>
    </row>
    <row r="54" spans="1:10">
      <c r="A54" s="115"/>
      <c r="B54" s="115"/>
      <c r="C54" s="115"/>
      <c r="D54" s="115" t="s">
        <v>333</v>
      </c>
      <c r="E54" s="137">
        <v>30</v>
      </c>
      <c r="F54" s="137">
        <v>110</v>
      </c>
      <c r="G54" s="137">
        <f t="shared" ref="G54:G68" si="2">ROUND((E54-F54),5)</f>
        <v>-80</v>
      </c>
      <c r="H54" s="138"/>
      <c r="I54" s="138"/>
      <c r="J54" s="138"/>
    </row>
    <row r="55" spans="1:10">
      <c r="A55" s="115"/>
      <c r="B55" s="115"/>
      <c r="C55" s="115"/>
      <c r="D55" s="115" t="s">
        <v>334</v>
      </c>
      <c r="E55" s="137">
        <v>10.199999999999999</v>
      </c>
      <c r="F55" s="137">
        <v>10</v>
      </c>
      <c r="G55" s="137">
        <f t="shared" si="2"/>
        <v>0.2</v>
      </c>
      <c r="H55" s="138"/>
      <c r="I55" s="138"/>
      <c r="J55" s="138"/>
    </row>
    <row r="56" spans="1:10">
      <c r="A56" s="115"/>
      <c r="B56" s="115"/>
      <c r="C56" s="115"/>
      <c r="D56" s="115" t="s">
        <v>355</v>
      </c>
      <c r="E56" s="137">
        <v>0</v>
      </c>
      <c r="F56" s="137">
        <v>10</v>
      </c>
      <c r="G56" s="137">
        <f t="shared" si="2"/>
        <v>-10</v>
      </c>
      <c r="H56" s="138"/>
      <c r="I56" s="138"/>
      <c r="J56" s="138"/>
    </row>
    <row r="57" spans="1:10">
      <c r="A57" s="115"/>
      <c r="B57" s="115"/>
      <c r="C57" s="115"/>
      <c r="D57" s="115" t="s">
        <v>357</v>
      </c>
      <c r="E57" s="137">
        <v>210</v>
      </c>
      <c r="F57" s="137">
        <v>10</v>
      </c>
      <c r="G57" s="137">
        <f t="shared" si="2"/>
        <v>200</v>
      </c>
      <c r="H57" s="138"/>
      <c r="I57" s="138"/>
      <c r="J57" s="138"/>
    </row>
    <row r="58" spans="1:10">
      <c r="A58" s="115"/>
      <c r="B58" s="115"/>
      <c r="C58" s="115"/>
      <c r="D58" s="115" t="s">
        <v>359</v>
      </c>
      <c r="E58" s="137">
        <v>2912.7</v>
      </c>
      <c r="F58" s="137">
        <v>3426</v>
      </c>
      <c r="G58" s="137">
        <f t="shared" si="2"/>
        <v>-513.29999999999995</v>
      </c>
      <c r="H58" s="138"/>
      <c r="I58" s="138"/>
      <c r="J58" s="138"/>
    </row>
    <row r="59" spans="1:10">
      <c r="A59" s="115"/>
      <c r="B59" s="115"/>
      <c r="C59" s="115"/>
      <c r="D59" s="115" t="s">
        <v>564</v>
      </c>
      <c r="E59" s="137">
        <v>4460</v>
      </c>
      <c r="F59" s="137">
        <v>0</v>
      </c>
      <c r="G59" s="137">
        <f t="shared" si="2"/>
        <v>4460</v>
      </c>
      <c r="H59" s="138"/>
      <c r="I59" s="138"/>
      <c r="J59" s="138"/>
    </row>
    <row r="60" spans="1:10">
      <c r="A60" s="115"/>
      <c r="B60" s="115"/>
      <c r="C60" s="115"/>
      <c r="D60" s="115" t="s">
        <v>363</v>
      </c>
      <c r="E60" s="137">
        <v>100</v>
      </c>
      <c r="F60" s="137">
        <v>0</v>
      </c>
      <c r="G60" s="137">
        <f t="shared" si="2"/>
        <v>100</v>
      </c>
      <c r="H60" s="138"/>
      <c r="I60" s="138"/>
      <c r="J60" s="138"/>
    </row>
    <row r="61" spans="1:10">
      <c r="A61" s="115"/>
      <c r="B61" s="115"/>
      <c r="C61" s="115"/>
      <c r="D61" s="115" t="s">
        <v>365</v>
      </c>
      <c r="E61" s="137">
        <v>70</v>
      </c>
      <c r="F61" s="137">
        <v>-100</v>
      </c>
      <c r="G61" s="137">
        <f t="shared" si="2"/>
        <v>170</v>
      </c>
      <c r="H61" s="138"/>
      <c r="I61" s="138"/>
      <c r="J61" s="138"/>
    </row>
    <row r="62" spans="1:10">
      <c r="A62" s="115"/>
      <c r="B62" s="115"/>
      <c r="C62" s="115"/>
      <c r="D62" s="115" t="s">
        <v>565</v>
      </c>
      <c r="E62" s="137">
        <v>13</v>
      </c>
      <c r="F62" s="137">
        <v>0</v>
      </c>
      <c r="G62" s="137">
        <f t="shared" si="2"/>
        <v>13</v>
      </c>
      <c r="H62" s="138"/>
      <c r="I62" s="138"/>
      <c r="J62" s="138"/>
    </row>
    <row r="63" spans="1:10">
      <c r="A63" s="115"/>
      <c r="B63" s="115"/>
      <c r="C63" s="115"/>
      <c r="D63" s="115" t="s">
        <v>367</v>
      </c>
      <c r="E63" s="137">
        <v>927.5</v>
      </c>
      <c r="F63" s="137">
        <v>0</v>
      </c>
      <c r="G63" s="137">
        <f t="shared" si="2"/>
        <v>927.5</v>
      </c>
      <c r="H63" s="138"/>
      <c r="I63" s="138"/>
      <c r="J63" s="138"/>
    </row>
    <row r="64" spans="1:10">
      <c r="A64" s="115"/>
      <c r="B64" s="115"/>
      <c r="C64" s="115"/>
      <c r="D64" s="115" t="s">
        <v>369</v>
      </c>
      <c r="E64" s="137">
        <v>100</v>
      </c>
      <c r="F64" s="137">
        <v>0</v>
      </c>
      <c r="G64" s="137">
        <f t="shared" si="2"/>
        <v>100</v>
      </c>
      <c r="H64" s="138"/>
      <c r="I64" s="138"/>
      <c r="J64" s="138"/>
    </row>
    <row r="65" spans="1:10" ht="15.75" thickBot="1">
      <c r="A65" s="115"/>
      <c r="B65" s="115"/>
      <c r="C65" s="115"/>
      <c r="D65" s="115" t="s">
        <v>566</v>
      </c>
      <c r="E65" s="137">
        <v>210</v>
      </c>
      <c r="F65" s="137">
        <v>0</v>
      </c>
      <c r="G65" s="137">
        <f t="shared" si="2"/>
        <v>210</v>
      </c>
      <c r="H65" s="138"/>
      <c r="I65" s="138"/>
      <c r="J65" s="138"/>
    </row>
    <row r="66" spans="1:10" ht="15.75" thickBot="1">
      <c r="A66" s="115"/>
      <c r="B66" s="115"/>
      <c r="C66" s="115" t="s">
        <v>336</v>
      </c>
      <c r="D66" s="115"/>
      <c r="E66" s="141">
        <f>ROUND(SUM(E53:E65),5)</f>
        <v>9043.4</v>
      </c>
      <c r="F66" s="141">
        <f>ROUND(SUM(F53:F65),5)</f>
        <v>3466</v>
      </c>
      <c r="G66" s="141">
        <f t="shared" si="2"/>
        <v>5577.4</v>
      </c>
      <c r="H66" s="138"/>
      <c r="I66" s="138"/>
      <c r="J66" s="138"/>
    </row>
    <row r="67" spans="1:10" ht="15.75" thickBot="1">
      <c r="A67" s="115"/>
      <c r="B67" s="115" t="s">
        <v>337</v>
      </c>
      <c r="C67" s="115"/>
      <c r="D67" s="115"/>
      <c r="E67" s="142">
        <f>ROUND(SUM(E44:E45)+E49+E52+E66,5)</f>
        <v>18704.03</v>
      </c>
      <c r="F67" s="142">
        <f>ROUND(SUM(F44:F45)+F49+F52+F66,5)</f>
        <v>14064.63</v>
      </c>
      <c r="G67" s="142">
        <f t="shared" si="2"/>
        <v>4639.3999999999996</v>
      </c>
      <c r="H67" s="138"/>
      <c r="I67" s="138"/>
      <c r="J67" s="138"/>
    </row>
    <row r="68" spans="1:10">
      <c r="A68" s="115" t="s">
        <v>338</v>
      </c>
      <c r="B68" s="115"/>
      <c r="C68" s="115"/>
      <c r="D68" s="115"/>
      <c r="E68" s="137">
        <f>ROUND(E35+E43+E67,5)</f>
        <v>141728.09</v>
      </c>
      <c r="F68" s="137">
        <f>ROUND(F35+F43+F67,5)</f>
        <v>179580.6</v>
      </c>
      <c r="G68" s="137">
        <f t="shared" si="2"/>
        <v>-37852.51</v>
      </c>
      <c r="H68" s="138"/>
      <c r="I68" s="138"/>
      <c r="J68" s="138"/>
    </row>
    <row r="69" spans="1:10">
      <c r="A69" s="115" t="s">
        <v>477</v>
      </c>
      <c r="B69" s="115"/>
      <c r="C69" s="115"/>
      <c r="D69" s="115"/>
      <c r="E69" s="137"/>
      <c r="F69" s="137"/>
      <c r="G69" s="137"/>
      <c r="H69" s="138"/>
      <c r="I69" s="138"/>
      <c r="J69" s="138"/>
    </row>
    <row r="70" spans="1:10">
      <c r="A70" s="115"/>
      <c r="B70" s="115" t="s">
        <v>478</v>
      </c>
      <c r="C70" s="115"/>
      <c r="D70" s="115"/>
      <c r="E70" s="137"/>
      <c r="F70" s="137"/>
      <c r="G70" s="137"/>
      <c r="H70" s="138"/>
      <c r="I70" s="138"/>
      <c r="J70" s="138"/>
    </row>
    <row r="71" spans="1:10">
      <c r="A71" s="115"/>
      <c r="B71" s="115"/>
      <c r="C71" s="115" t="s">
        <v>479</v>
      </c>
      <c r="D71" s="115"/>
      <c r="E71" s="137"/>
      <c r="F71" s="137"/>
      <c r="G71" s="137"/>
      <c r="H71" s="138"/>
      <c r="I71" s="138"/>
      <c r="J71" s="138"/>
    </row>
    <row r="72" spans="1:10" ht="15.75" thickBot="1">
      <c r="A72" s="115"/>
      <c r="B72" s="115"/>
      <c r="C72" s="115"/>
      <c r="D72" s="115" t="s">
        <v>480</v>
      </c>
      <c r="E72" s="137">
        <v>13760.55</v>
      </c>
      <c r="F72" s="137">
        <v>70543.259999999995</v>
      </c>
      <c r="G72" s="137">
        <f>ROUND((E72-F72),5)</f>
        <v>-56782.71</v>
      </c>
      <c r="H72" s="138"/>
      <c r="I72" s="138"/>
      <c r="J72" s="138"/>
    </row>
    <row r="73" spans="1:10" ht="15.75" thickBot="1">
      <c r="A73" s="115"/>
      <c r="B73" s="115"/>
      <c r="C73" s="115" t="s">
        <v>481</v>
      </c>
      <c r="D73" s="115"/>
      <c r="E73" s="141">
        <f>ROUND(SUM(E71:E72),5)</f>
        <v>13760.55</v>
      </c>
      <c r="F73" s="141">
        <f>ROUND(SUM(F71:F72),5)</f>
        <v>70543.259999999995</v>
      </c>
      <c r="G73" s="141">
        <f>ROUND((E73-F73),5)</f>
        <v>-56782.71</v>
      </c>
      <c r="H73" s="138"/>
      <c r="I73" s="138"/>
      <c r="J73" s="138"/>
    </row>
    <row r="74" spans="1:10" ht="15.75" thickBot="1">
      <c r="A74" s="115"/>
      <c r="B74" s="115" t="s">
        <v>482</v>
      </c>
      <c r="C74" s="115"/>
      <c r="D74" s="115"/>
      <c r="E74" s="141">
        <f>ROUND(E70+E73,5)</f>
        <v>13760.55</v>
      </c>
      <c r="F74" s="141">
        <f>ROUND(F70+F73,5)</f>
        <v>70543.259999999995</v>
      </c>
      <c r="G74" s="141">
        <f>ROUND((E74-F74),5)</f>
        <v>-56782.71</v>
      </c>
      <c r="H74" s="138"/>
      <c r="I74" s="138"/>
      <c r="J74" s="138"/>
    </row>
    <row r="75" spans="1:10" ht="15.75" thickBot="1">
      <c r="A75" s="115" t="s">
        <v>483</v>
      </c>
      <c r="B75" s="115"/>
      <c r="C75" s="115"/>
      <c r="D75" s="115"/>
      <c r="E75" s="142">
        <f>ROUND(E69+E74,5)</f>
        <v>13760.55</v>
      </c>
      <c r="F75" s="142">
        <f>ROUND(F69+F74,5)</f>
        <v>70543.259999999995</v>
      </c>
      <c r="G75" s="142">
        <f>ROUND((E75-F75),5)</f>
        <v>-56782.71</v>
      </c>
      <c r="H75" s="138"/>
      <c r="I75" s="138"/>
      <c r="J75" s="138"/>
    </row>
    <row r="76" spans="1:10">
      <c r="A76" s="128" t="s">
        <v>339</v>
      </c>
      <c r="B76" s="115"/>
      <c r="C76" s="115"/>
      <c r="D76" s="115"/>
      <c r="E76" s="137">
        <f>ROUND(E34+E68+E75,5)</f>
        <v>155488.64000000001</v>
      </c>
      <c r="F76" s="137">
        <f>ROUND(F34+F68+F75,5)</f>
        <v>250123.86</v>
      </c>
      <c r="G76" s="137">
        <f>ROUND((E76-F76),5)</f>
        <v>-94635.22</v>
      </c>
      <c r="H76" s="138"/>
      <c r="I76" s="138"/>
      <c r="J76" s="138"/>
    </row>
    <row r="77" spans="1:10">
      <c r="A77" s="145" t="s">
        <v>340</v>
      </c>
      <c r="B77" s="115"/>
      <c r="C77" s="115"/>
      <c r="D77" s="115"/>
      <c r="E77" s="137"/>
      <c r="F77" s="137"/>
      <c r="G77" s="137"/>
      <c r="H77" s="138"/>
      <c r="I77" s="138"/>
      <c r="J77" s="138"/>
    </row>
    <row r="78" spans="1:10">
      <c r="A78" s="115" t="s">
        <v>341</v>
      </c>
      <c r="B78" s="115"/>
      <c r="C78" s="115"/>
      <c r="D78" s="115"/>
      <c r="E78" s="137">
        <v>-665624.34</v>
      </c>
      <c r="F78" s="137">
        <v>-664472</v>
      </c>
      <c r="G78" s="137">
        <f>ROUND((E78-F78),5)</f>
        <v>-1152.3399999999999</v>
      </c>
      <c r="H78" s="138"/>
      <c r="I78" s="138"/>
      <c r="J78" s="138"/>
    </row>
    <row r="79" spans="1:10">
      <c r="A79" s="115" t="s">
        <v>528</v>
      </c>
      <c r="B79" s="115"/>
      <c r="C79" s="115"/>
      <c r="D79" s="115"/>
      <c r="E79" s="137">
        <v>928886.07</v>
      </c>
      <c r="F79" s="137">
        <v>788291.14</v>
      </c>
      <c r="G79" s="137">
        <f>ROUND((E79-F79),5)</f>
        <v>140594.93</v>
      </c>
      <c r="H79" s="138"/>
      <c r="I79" s="138"/>
      <c r="J79" s="138"/>
    </row>
    <row r="80" spans="1:10" ht="15.75" thickBot="1">
      <c r="A80" s="115" t="s">
        <v>265</v>
      </c>
      <c r="B80" s="115"/>
      <c r="C80" s="115"/>
      <c r="D80" s="115"/>
      <c r="E80" s="137">
        <v>120215.87</v>
      </c>
      <c r="F80" s="137">
        <v>140594.93</v>
      </c>
      <c r="G80" s="137">
        <f>ROUND((E80-F80),5)</f>
        <v>-20379.060000000001</v>
      </c>
      <c r="H80" s="138"/>
      <c r="I80" s="138"/>
      <c r="J80" s="138"/>
    </row>
    <row r="81" spans="1:10" ht="15.75" thickBot="1">
      <c r="A81" s="145" t="s">
        <v>343</v>
      </c>
      <c r="B81" s="115"/>
      <c r="C81" s="115"/>
      <c r="D81" s="115"/>
      <c r="E81" s="141">
        <f>ROUND(SUM(E77:E80),5)</f>
        <v>383477.6</v>
      </c>
      <c r="F81" s="141">
        <f>ROUND(SUM(F77:F80),5)</f>
        <v>264414.07</v>
      </c>
      <c r="G81" s="141">
        <f>ROUND((E81-F81),5)</f>
        <v>119063.53</v>
      </c>
      <c r="H81" s="138"/>
      <c r="I81" s="138"/>
      <c r="J81" s="138"/>
    </row>
    <row r="82" spans="1:10" s="114" customFormat="1" ht="12" thickBot="1">
      <c r="A82" s="145" t="s">
        <v>58</v>
      </c>
      <c r="B82" s="115"/>
      <c r="C82" s="115"/>
      <c r="D82" s="115"/>
      <c r="E82" s="143">
        <f>ROUND(E33+E76+E81,5)</f>
        <v>538966.24</v>
      </c>
      <c r="F82" s="143">
        <f>ROUND(F33+F76+F81,5)</f>
        <v>514537.93</v>
      </c>
      <c r="G82" s="143">
        <f>ROUND((E82-F82),5)</f>
        <v>24428.31</v>
      </c>
      <c r="H82" s="144"/>
      <c r="I82" s="144"/>
      <c r="J82" s="144"/>
    </row>
    <row r="83" spans="1:10" ht="15.75" thickTop="1">
      <c r="E83" s="138"/>
      <c r="F83" s="138"/>
      <c r="G83" s="138"/>
      <c r="H83" s="138"/>
      <c r="I83" s="138"/>
      <c r="J83" s="138"/>
    </row>
    <row r="84" spans="1:10">
      <c r="E84" s="138"/>
      <c r="F84" s="138"/>
      <c r="G84" s="138"/>
      <c r="H84" s="138"/>
      <c r="I84" s="138"/>
      <c r="J84" s="138"/>
    </row>
  </sheetData>
  <pageMargins left="0.2" right="0.2" top="0.25" bottom="0.25" header="0.3" footer="0.3"/>
  <pageSetup scale="59" orientation="portrait" horizontalDpi="0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2FFB6-B861-4FDE-B9F8-3CF277240AC7}">
  <sheetPr>
    <tabColor theme="0" tint="-0.499984740745262"/>
  </sheetPr>
  <dimension ref="A1:F173"/>
  <sheetViews>
    <sheetView workbookViewId="0">
      <pane ySplit="2" topLeftCell="A3" activePane="bottomLeft" state="frozen"/>
      <selection activeCell="G163" sqref="G163"/>
      <selection pane="bottomLeft" activeCell="G163" sqref="G163"/>
    </sheetView>
  </sheetViews>
  <sheetFormatPr defaultRowHeight="15"/>
  <cols>
    <col min="1" max="1" width="31.42578125" style="114" bestFit="1" customWidth="1"/>
    <col min="2" max="2" width="31.5703125" style="114" bestFit="1" customWidth="1"/>
    <col min="3" max="3" width="33.140625" style="114" bestFit="1" customWidth="1"/>
    <col min="4" max="5" width="12.42578125" style="125" bestFit="1" customWidth="1"/>
    <col min="6" max="6" width="9.85546875" style="125" bestFit="1" customWidth="1"/>
    <col min="7" max="16384" width="9.140625" style="113"/>
  </cols>
  <sheetData>
    <row r="1" spans="1:6" ht="15.75" thickBot="1">
      <c r="A1" s="115"/>
      <c r="B1" s="115"/>
      <c r="C1" s="115"/>
      <c r="D1" s="126"/>
      <c r="E1" s="126"/>
      <c r="F1" s="126"/>
    </row>
    <row r="2" spans="1:6" s="117" customFormat="1" ht="16.5" thickTop="1" thickBot="1">
      <c r="A2" s="118"/>
      <c r="B2" s="118"/>
      <c r="C2" s="118"/>
      <c r="D2" s="127" t="s">
        <v>554</v>
      </c>
      <c r="E2" s="127" t="s">
        <v>536</v>
      </c>
      <c r="F2" s="127" t="s">
        <v>374</v>
      </c>
    </row>
    <row r="3" spans="1:6" ht="15.75" thickTop="1">
      <c r="A3" s="128" t="s">
        <v>75</v>
      </c>
      <c r="B3" s="115"/>
      <c r="C3" s="115"/>
      <c r="D3" s="129"/>
      <c r="E3" s="129"/>
      <c r="F3" s="129"/>
    </row>
    <row r="4" spans="1:6">
      <c r="A4" s="115" t="s">
        <v>76</v>
      </c>
      <c r="B4" s="115"/>
      <c r="C4" s="115"/>
      <c r="D4" s="129"/>
      <c r="E4" s="129"/>
      <c r="F4" s="129"/>
    </row>
    <row r="5" spans="1:6">
      <c r="A5" s="115"/>
      <c r="B5" s="115" t="s">
        <v>77</v>
      </c>
      <c r="C5" s="115"/>
      <c r="D5" s="129"/>
      <c r="E5" s="129"/>
      <c r="F5" s="129"/>
    </row>
    <row r="6" spans="1:6">
      <c r="A6" s="115"/>
      <c r="B6" s="115"/>
      <c r="C6" s="115" t="s">
        <v>537</v>
      </c>
      <c r="D6" s="129">
        <v>224271.9</v>
      </c>
      <c r="E6" s="129">
        <v>18070.62</v>
      </c>
      <c r="F6" s="129">
        <f>ROUND((D6-E6),5)</f>
        <v>206201.28</v>
      </c>
    </row>
    <row r="7" spans="1:6" ht="15.75" thickBot="1">
      <c r="A7" s="115"/>
      <c r="B7" s="115"/>
      <c r="C7" s="115" t="s">
        <v>396</v>
      </c>
      <c r="D7" s="130">
        <v>579011.36</v>
      </c>
      <c r="E7" s="130">
        <v>723893.72</v>
      </c>
      <c r="F7" s="130">
        <f>ROUND((D7-E7),5)</f>
        <v>-144882.35999999999</v>
      </c>
    </row>
    <row r="8" spans="1:6">
      <c r="A8" s="115"/>
      <c r="B8" s="115" t="s">
        <v>79</v>
      </c>
      <c r="C8" s="115"/>
      <c r="D8" s="129">
        <f>ROUND(SUM(D5:D7),5)</f>
        <v>803283.26</v>
      </c>
      <c r="E8" s="129">
        <f>ROUND(SUM(E5:E7),5)</f>
        <v>741964.34</v>
      </c>
      <c r="F8" s="129">
        <f>ROUND((D8-E8),5)</f>
        <v>61318.92</v>
      </c>
    </row>
    <row r="9" spans="1:6">
      <c r="A9" s="115"/>
      <c r="B9" s="115" t="s">
        <v>80</v>
      </c>
      <c r="C9" s="115"/>
      <c r="D9" s="129"/>
      <c r="E9" s="129"/>
      <c r="F9" s="129"/>
    </row>
    <row r="10" spans="1:6">
      <c r="A10" s="115"/>
      <c r="B10" s="115"/>
      <c r="C10" s="115" t="s">
        <v>81</v>
      </c>
      <c r="D10" s="129">
        <v>36626.51</v>
      </c>
      <c r="E10" s="129">
        <v>35689.9</v>
      </c>
      <c r="F10" s="129">
        <f t="shared" ref="F10:F16" si="0">ROUND((D10-E10),5)</f>
        <v>936.61</v>
      </c>
    </row>
    <row r="11" spans="1:6">
      <c r="A11" s="115"/>
      <c r="B11" s="115"/>
      <c r="C11" s="115" t="s">
        <v>82</v>
      </c>
      <c r="D11" s="129">
        <v>19982.310000000001</v>
      </c>
      <c r="E11" s="129">
        <v>19144.75</v>
      </c>
      <c r="F11" s="129">
        <f t="shared" si="0"/>
        <v>837.56</v>
      </c>
    </row>
    <row r="12" spans="1:6">
      <c r="A12" s="115"/>
      <c r="B12" s="115"/>
      <c r="C12" s="115" t="s">
        <v>83</v>
      </c>
      <c r="D12" s="129">
        <v>10748</v>
      </c>
      <c r="E12" s="129">
        <v>8403.5</v>
      </c>
      <c r="F12" s="129">
        <f t="shared" si="0"/>
        <v>2344.5</v>
      </c>
    </row>
    <row r="13" spans="1:6">
      <c r="A13" s="115"/>
      <c r="B13" s="115"/>
      <c r="C13" s="115" t="s">
        <v>84</v>
      </c>
      <c r="D13" s="129">
        <v>36961</v>
      </c>
      <c r="E13" s="129">
        <v>44847</v>
      </c>
      <c r="F13" s="129">
        <f t="shared" si="0"/>
        <v>-7886</v>
      </c>
    </row>
    <row r="14" spans="1:6">
      <c r="A14" s="115"/>
      <c r="B14" s="115"/>
      <c r="C14" s="115" t="s">
        <v>85</v>
      </c>
      <c r="D14" s="129">
        <v>2900</v>
      </c>
      <c r="E14" s="129">
        <v>1300</v>
      </c>
      <c r="F14" s="129">
        <f t="shared" si="0"/>
        <v>1600</v>
      </c>
    </row>
    <row r="15" spans="1:6" ht="15.75" thickBot="1">
      <c r="A15" s="115"/>
      <c r="B15" s="115"/>
      <c r="C15" s="115" t="s">
        <v>86</v>
      </c>
      <c r="D15" s="130">
        <v>210</v>
      </c>
      <c r="E15" s="130">
        <v>0</v>
      </c>
      <c r="F15" s="130">
        <f t="shared" si="0"/>
        <v>210</v>
      </c>
    </row>
    <row r="16" spans="1:6">
      <c r="A16" s="115"/>
      <c r="B16" s="115" t="s">
        <v>87</v>
      </c>
      <c r="C16" s="115"/>
      <c r="D16" s="129">
        <f>ROUND(SUM(D9:D15),5)</f>
        <v>107427.82</v>
      </c>
      <c r="E16" s="129">
        <f>ROUND(SUM(E9:E15),5)</f>
        <v>109385.15</v>
      </c>
      <c r="F16" s="129">
        <f t="shared" si="0"/>
        <v>-1957.33</v>
      </c>
    </row>
    <row r="17" spans="1:6">
      <c r="A17" s="115"/>
      <c r="B17" s="115" t="s">
        <v>88</v>
      </c>
      <c r="C17" s="115"/>
      <c r="D17" s="129"/>
      <c r="E17" s="129"/>
      <c r="F17" s="129"/>
    </row>
    <row r="18" spans="1:6">
      <c r="A18" s="115"/>
      <c r="B18" s="115"/>
      <c r="C18" s="115" t="s">
        <v>89</v>
      </c>
      <c r="D18" s="129">
        <v>7675</v>
      </c>
      <c r="E18" s="129">
        <v>8700</v>
      </c>
      <c r="F18" s="129">
        <f>ROUND((D18-E18),5)</f>
        <v>-1025</v>
      </c>
    </row>
    <row r="19" spans="1:6">
      <c r="A19" s="115"/>
      <c r="B19" s="115"/>
      <c r="C19" s="115" t="s">
        <v>90</v>
      </c>
      <c r="D19" s="129">
        <v>1150</v>
      </c>
      <c r="E19" s="129">
        <v>1200</v>
      </c>
      <c r="F19" s="129">
        <f>ROUND((D19-E19),5)</f>
        <v>-50</v>
      </c>
    </row>
    <row r="20" spans="1:6" ht="15.75" thickBot="1">
      <c r="A20" s="115"/>
      <c r="B20" s="115"/>
      <c r="C20" s="115" t="s">
        <v>91</v>
      </c>
      <c r="D20" s="130">
        <v>2545</v>
      </c>
      <c r="E20" s="130">
        <v>1725</v>
      </c>
      <c r="F20" s="130">
        <f>ROUND((D20-E20),5)</f>
        <v>820</v>
      </c>
    </row>
    <row r="21" spans="1:6">
      <c r="A21" s="115"/>
      <c r="B21" s="115" t="s">
        <v>92</v>
      </c>
      <c r="C21" s="115"/>
      <c r="D21" s="129">
        <f>ROUND(SUM(D17:D20),5)</f>
        <v>11370</v>
      </c>
      <c r="E21" s="129">
        <f>ROUND(SUM(E17:E20),5)</f>
        <v>11625</v>
      </c>
      <c r="F21" s="129">
        <f>ROUND((D21-E21),5)</f>
        <v>-255</v>
      </c>
    </row>
    <row r="22" spans="1:6">
      <c r="A22" s="115"/>
      <c r="B22" s="115" t="s">
        <v>93</v>
      </c>
      <c r="C22" s="115"/>
      <c r="D22" s="129"/>
      <c r="E22" s="129"/>
      <c r="F22" s="129"/>
    </row>
    <row r="23" spans="1:6">
      <c r="A23" s="115"/>
      <c r="B23" s="115"/>
      <c r="C23" s="115" t="s">
        <v>96</v>
      </c>
      <c r="D23" s="129">
        <v>16110.65</v>
      </c>
      <c r="E23" s="129">
        <v>20631</v>
      </c>
      <c r="F23" s="129">
        <f t="shared" ref="F23:F37" si="1">ROUND((D23-E23),5)</f>
        <v>-4520.3500000000004</v>
      </c>
    </row>
    <row r="24" spans="1:6">
      <c r="A24" s="115"/>
      <c r="B24" s="115"/>
      <c r="C24" s="115" t="s">
        <v>97</v>
      </c>
      <c r="D24" s="129">
        <v>2748.3</v>
      </c>
      <c r="E24" s="129">
        <v>2485</v>
      </c>
      <c r="F24" s="129">
        <f t="shared" si="1"/>
        <v>263.3</v>
      </c>
    </row>
    <row r="25" spans="1:6">
      <c r="A25" s="115"/>
      <c r="B25" s="115"/>
      <c r="C25" s="115" t="s">
        <v>398</v>
      </c>
      <c r="D25" s="129">
        <v>1811.8</v>
      </c>
      <c r="E25" s="129">
        <v>2063</v>
      </c>
      <c r="F25" s="129">
        <f t="shared" si="1"/>
        <v>-251.2</v>
      </c>
    </row>
    <row r="26" spans="1:6">
      <c r="A26" s="115"/>
      <c r="B26" s="115"/>
      <c r="C26" s="115" t="s">
        <v>98</v>
      </c>
      <c r="D26" s="129">
        <v>-575.16999999999996</v>
      </c>
      <c r="E26" s="129">
        <v>-4.9400000000000004</v>
      </c>
      <c r="F26" s="129">
        <f t="shared" si="1"/>
        <v>-570.23</v>
      </c>
    </row>
    <row r="27" spans="1:6">
      <c r="A27" s="115"/>
      <c r="B27" s="115"/>
      <c r="C27" s="115" t="s">
        <v>538</v>
      </c>
      <c r="D27" s="129">
        <v>1596</v>
      </c>
      <c r="E27" s="129">
        <v>1064</v>
      </c>
      <c r="F27" s="129">
        <f t="shared" si="1"/>
        <v>532</v>
      </c>
    </row>
    <row r="28" spans="1:6">
      <c r="A28" s="115"/>
      <c r="B28" s="115"/>
      <c r="C28" s="115" t="s">
        <v>555</v>
      </c>
      <c r="D28" s="129">
        <v>4647.49</v>
      </c>
      <c r="E28" s="129">
        <v>0</v>
      </c>
      <c r="F28" s="129">
        <f t="shared" si="1"/>
        <v>4647.49</v>
      </c>
    </row>
    <row r="29" spans="1:6">
      <c r="A29" s="115"/>
      <c r="B29" s="115"/>
      <c r="C29" s="115" t="s">
        <v>556</v>
      </c>
      <c r="D29" s="129">
        <v>5762.5</v>
      </c>
      <c r="E29" s="129">
        <v>0</v>
      </c>
      <c r="F29" s="129">
        <f t="shared" si="1"/>
        <v>5762.5</v>
      </c>
    </row>
    <row r="30" spans="1:6">
      <c r="A30" s="115"/>
      <c r="B30" s="115"/>
      <c r="C30" s="115" t="s">
        <v>472</v>
      </c>
      <c r="D30" s="129">
        <v>1529.56</v>
      </c>
      <c r="E30" s="129">
        <v>2138.56</v>
      </c>
      <c r="F30" s="129">
        <f t="shared" si="1"/>
        <v>-609</v>
      </c>
    </row>
    <row r="31" spans="1:6">
      <c r="A31" s="115"/>
      <c r="B31" s="115"/>
      <c r="C31" s="115" t="s">
        <v>99</v>
      </c>
      <c r="D31" s="129">
        <v>2777</v>
      </c>
      <c r="E31" s="129">
        <v>3985</v>
      </c>
      <c r="F31" s="129">
        <f t="shared" si="1"/>
        <v>-1208</v>
      </c>
    </row>
    <row r="32" spans="1:6">
      <c r="A32" s="115"/>
      <c r="B32" s="115"/>
      <c r="C32" s="115" t="s">
        <v>491</v>
      </c>
      <c r="D32" s="129">
        <v>2296</v>
      </c>
      <c r="E32" s="129">
        <v>1596.55</v>
      </c>
      <c r="F32" s="129">
        <f t="shared" si="1"/>
        <v>699.45</v>
      </c>
    </row>
    <row r="33" spans="1:6">
      <c r="A33" s="115"/>
      <c r="B33" s="115"/>
      <c r="C33" s="115" t="s">
        <v>100</v>
      </c>
      <c r="D33" s="129">
        <v>18838</v>
      </c>
      <c r="E33" s="129">
        <v>12297.68</v>
      </c>
      <c r="F33" s="129">
        <f t="shared" si="1"/>
        <v>6540.32</v>
      </c>
    </row>
    <row r="34" spans="1:6">
      <c r="A34" s="115"/>
      <c r="B34" s="115"/>
      <c r="C34" s="115" t="s">
        <v>539</v>
      </c>
      <c r="D34" s="129">
        <v>0</v>
      </c>
      <c r="E34" s="129">
        <v>-125</v>
      </c>
      <c r="F34" s="129">
        <f t="shared" si="1"/>
        <v>125</v>
      </c>
    </row>
    <row r="35" spans="1:6">
      <c r="A35" s="115"/>
      <c r="B35" s="115"/>
      <c r="C35" s="115" t="s">
        <v>400</v>
      </c>
      <c r="D35" s="129">
        <v>5861.19</v>
      </c>
      <c r="E35" s="129">
        <v>3110.23</v>
      </c>
      <c r="F35" s="129">
        <f t="shared" si="1"/>
        <v>2750.96</v>
      </c>
    </row>
    <row r="36" spans="1:6" ht="15.75" thickBot="1">
      <c r="A36" s="115"/>
      <c r="B36" s="115"/>
      <c r="C36" s="115" t="s">
        <v>557</v>
      </c>
      <c r="D36" s="130">
        <v>29.33</v>
      </c>
      <c r="E36" s="130">
        <v>0</v>
      </c>
      <c r="F36" s="130">
        <f t="shared" si="1"/>
        <v>29.33</v>
      </c>
    </row>
    <row r="37" spans="1:6">
      <c r="A37" s="115"/>
      <c r="B37" s="115" t="s">
        <v>101</v>
      </c>
      <c r="C37" s="115"/>
      <c r="D37" s="129">
        <f>ROUND(SUM(D22:D36),5)</f>
        <v>63432.65</v>
      </c>
      <c r="E37" s="129">
        <f>ROUND(SUM(E22:E36),5)</f>
        <v>49241.08</v>
      </c>
      <c r="F37" s="129">
        <f t="shared" si="1"/>
        <v>14191.57</v>
      </c>
    </row>
    <row r="38" spans="1:6">
      <c r="A38" s="115"/>
      <c r="B38" s="115" t="s">
        <v>102</v>
      </c>
      <c r="C38" s="115"/>
      <c r="D38" s="129"/>
      <c r="E38" s="129"/>
      <c r="F38" s="129"/>
    </row>
    <row r="39" spans="1:6">
      <c r="A39" s="115"/>
      <c r="B39" s="115"/>
      <c r="C39" s="115" t="s">
        <v>104</v>
      </c>
      <c r="D39" s="129">
        <v>0</v>
      </c>
      <c r="E39" s="129">
        <v>700</v>
      </c>
      <c r="F39" s="129">
        <f t="shared" ref="F39:F50" si="2">ROUND((D39-E39),5)</f>
        <v>-700</v>
      </c>
    </row>
    <row r="40" spans="1:6">
      <c r="A40" s="115"/>
      <c r="B40" s="115"/>
      <c r="C40" s="115" t="s">
        <v>105</v>
      </c>
      <c r="D40" s="129">
        <v>3905</v>
      </c>
      <c r="E40" s="129">
        <v>4000</v>
      </c>
      <c r="F40" s="129">
        <f t="shared" si="2"/>
        <v>-95</v>
      </c>
    </row>
    <row r="41" spans="1:6">
      <c r="A41" s="115"/>
      <c r="B41" s="115"/>
      <c r="C41" s="115" t="s">
        <v>106</v>
      </c>
      <c r="D41" s="129">
        <v>3340</v>
      </c>
      <c r="E41" s="129">
        <v>2860</v>
      </c>
      <c r="F41" s="129">
        <f t="shared" si="2"/>
        <v>480</v>
      </c>
    </row>
    <row r="42" spans="1:6" ht="15.75" thickBot="1">
      <c r="A42" s="115"/>
      <c r="B42" s="115"/>
      <c r="C42" s="115" t="s">
        <v>107</v>
      </c>
      <c r="D42" s="130">
        <v>39736.269999999997</v>
      </c>
      <c r="E42" s="130">
        <v>38695.46</v>
      </c>
      <c r="F42" s="130">
        <f t="shared" si="2"/>
        <v>1040.81</v>
      </c>
    </row>
    <row r="43" spans="1:6">
      <c r="A43" s="115"/>
      <c r="B43" s="115" t="s">
        <v>108</v>
      </c>
      <c r="C43" s="115"/>
      <c r="D43" s="129">
        <f>ROUND(SUM(D38:D42),5)</f>
        <v>46981.27</v>
      </c>
      <c r="E43" s="129">
        <f>ROUND(SUM(E38:E42),5)</f>
        <v>46255.46</v>
      </c>
      <c r="F43" s="129">
        <f t="shared" si="2"/>
        <v>725.81</v>
      </c>
    </row>
    <row r="44" spans="1:6">
      <c r="A44" s="115"/>
      <c r="B44" s="115" t="s">
        <v>109</v>
      </c>
      <c r="C44" s="115"/>
      <c r="D44" s="129">
        <v>1383.63</v>
      </c>
      <c r="E44" s="129">
        <v>1630.95</v>
      </c>
      <c r="F44" s="129">
        <f t="shared" si="2"/>
        <v>-247.32</v>
      </c>
    </row>
    <row r="45" spans="1:6" ht="15.75" thickBot="1">
      <c r="A45" s="115"/>
      <c r="B45" s="115" t="s">
        <v>110</v>
      </c>
      <c r="C45" s="115"/>
      <c r="D45" s="130">
        <v>1500</v>
      </c>
      <c r="E45" s="130">
        <v>500</v>
      </c>
      <c r="F45" s="130">
        <f t="shared" si="2"/>
        <v>1000</v>
      </c>
    </row>
    <row r="46" spans="1:6">
      <c r="A46" s="115" t="s">
        <v>111</v>
      </c>
      <c r="B46" s="115"/>
      <c r="C46" s="115"/>
      <c r="D46" s="129">
        <f>ROUND(D4+D8+D16+D21+D37+SUM(D43:D45),5)</f>
        <v>1035378.63</v>
      </c>
      <c r="E46" s="129">
        <f>ROUND(E4+E8+E16+E21+E37+SUM(E43:E45),5)</f>
        <v>960601.98</v>
      </c>
      <c r="F46" s="129">
        <f t="shared" si="2"/>
        <v>74776.649999999994</v>
      </c>
    </row>
    <row r="47" spans="1:6">
      <c r="A47" s="115" t="s">
        <v>133</v>
      </c>
      <c r="B47" s="115"/>
      <c r="C47" s="115"/>
      <c r="D47" s="129">
        <v>2000</v>
      </c>
      <c r="E47" s="129">
        <v>12000</v>
      </c>
      <c r="F47" s="129">
        <f t="shared" si="2"/>
        <v>-10000</v>
      </c>
    </row>
    <row r="48" spans="1:6" ht="15.75" thickBot="1">
      <c r="A48" s="115" t="s">
        <v>380</v>
      </c>
      <c r="B48" s="115"/>
      <c r="C48" s="115"/>
      <c r="D48" s="129">
        <v>0</v>
      </c>
      <c r="E48" s="129">
        <v>62565.02</v>
      </c>
      <c r="F48" s="129">
        <f t="shared" si="2"/>
        <v>-62565.02</v>
      </c>
    </row>
    <row r="49" spans="1:6" ht="15.75" thickBot="1">
      <c r="A49" s="128" t="s">
        <v>135</v>
      </c>
      <c r="B49" s="115"/>
      <c r="C49" s="115"/>
      <c r="D49" s="131">
        <f>ROUND(D3+SUM(D46:D48),5)</f>
        <v>1037378.63</v>
      </c>
      <c r="E49" s="131">
        <f>ROUND(E3+SUM(E46:E48),5)</f>
        <v>1035167</v>
      </c>
      <c r="F49" s="131">
        <f t="shared" si="2"/>
        <v>2211.63</v>
      </c>
    </row>
    <row r="50" spans="1:6">
      <c r="A50" s="132" t="s">
        <v>408</v>
      </c>
      <c r="B50" s="115"/>
      <c r="C50" s="115"/>
      <c r="D50" s="129">
        <f>D49</f>
        <v>1037378.63</v>
      </c>
      <c r="E50" s="129">
        <f>E49</f>
        <v>1035167</v>
      </c>
      <c r="F50" s="129">
        <f t="shared" si="2"/>
        <v>2211.63</v>
      </c>
    </row>
    <row r="51" spans="1:6">
      <c r="A51" s="128" t="s">
        <v>136</v>
      </c>
      <c r="B51" s="115"/>
      <c r="C51" s="115"/>
      <c r="D51" s="129"/>
      <c r="E51" s="129"/>
      <c r="F51" s="129"/>
    </row>
    <row r="52" spans="1:6">
      <c r="A52" s="115" t="s">
        <v>137</v>
      </c>
      <c r="B52" s="115"/>
      <c r="C52" s="115"/>
      <c r="D52" s="129"/>
      <c r="E52" s="129"/>
      <c r="F52" s="129"/>
    </row>
    <row r="53" spans="1:6">
      <c r="A53" s="115"/>
      <c r="B53" s="115" t="s">
        <v>138</v>
      </c>
      <c r="C53" s="115"/>
      <c r="D53" s="129"/>
      <c r="E53" s="129"/>
      <c r="F53" s="129"/>
    </row>
    <row r="54" spans="1:6">
      <c r="A54" s="115"/>
      <c r="B54" s="115"/>
      <c r="C54" s="115" t="s">
        <v>492</v>
      </c>
      <c r="D54" s="129">
        <v>1000</v>
      </c>
      <c r="E54" s="129">
        <v>1000</v>
      </c>
      <c r="F54" s="129">
        <f>ROUND((D54-E54),5)</f>
        <v>0</v>
      </c>
    </row>
    <row r="55" spans="1:6" ht="15.75" thickBot="1">
      <c r="A55" s="115"/>
      <c r="B55" s="115"/>
      <c r="C55" s="115" t="s">
        <v>493</v>
      </c>
      <c r="D55" s="130">
        <v>112700.04</v>
      </c>
      <c r="E55" s="130">
        <v>119600.04</v>
      </c>
      <c r="F55" s="130">
        <f>ROUND((D55-E55),5)</f>
        <v>-6900</v>
      </c>
    </row>
    <row r="56" spans="1:6">
      <c r="A56" s="115"/>
      <c r="B56" s="115" t="s">
        <v>494</v>
      </c>
      <c r="C56" s="115"/>
      <c r="D56" s="129">
        <f>ROUND(SUM(D53:D55),5)</f>
        <v>113700.04</v>
      </c>
      <c r="E56" s="129">
        <f>ROUND(SUM(E53:E55),5)</f>
        <v>120600.04</v>
      </c>
      <c r="F56" s="129">
        <f>ROUND((D56-E56),5)</f>
        <v>-6900</v>
      </c>
    </row>
    <row r="57" spans="1:6">
      <c r="A57" s="115"/>
      <c r="B57" s="115" t="s">
        <v>139</v>
      </c>
      <c r="C57" s="115"/>
      <c r="D57" s="129"/>
      <c r="E57" s="129"/>
      <c r="F57" s="129"/>
    </row>
    <row r="58" spans="1:6">
      <c r="A58" s="115"/>
      <c r="B58" s="115"/>
      <c r="C58" s="115" t="s">
        <v>140</v>
      </c>
      <c r="D58" s="129">
        <v>34940.22</v>
      </c>
      <c r="E58" s="129">
        <v>32731.3</v>
      </c>
      <c r="F58" s="129">
        <f>ROUND((D58-E58),5)</f>
        <v>2208.92</v>
      </c>
    </row>
    <row r="59" spans="1:6" ht="15.75" thickBot="1">
      <c r="A59" s="115"/>
      <c r="B59" s="115"/>
      <c r="C59" s="115" t="s">
        <v>141</v>
      </c>
      <c r="D59" s="130">
        <v>250</v>
      </c>
      <c r="E59" s="130">
        <v>250</v>
      </c>
      <c r="F59" s="130">
        <f>ROUND((D59-E59),5)</f>
        <v>0</v>
      </c>
    </row>
    <row r="60" spans="1:6">
      <c r="A60" s="115"/>
      <c r="B60" s="115" t="s">
        <v>143</v>
      </c>
      <c r="C60" s="115"/>
      <c r="D60" s="129">
        <f>ROUND(SUM(D57:D59),5)</f>
        <v>35190.22</v>
      </c>
      <c r="E60" s="129">
        <f>ROUND(SUM(E57:E59),5)</f>
        <v>32981.300000000003</v>
      </c>
      <c r="F60" s="129">
        <f>ROUND((D60-E60),5)</f>
        <v>2208.92</v>
      </c>
    </row>
    <row r="61" spans="1:6">
      <c r="A61" s="115"/>
      <c r="B61" s="115" t="s">
        <v>144</v>
      </c>
      <c r="C61" s="115"/>
      <c r="D61" s="129">
        <v>242488.48</v>
      </c>
      <c r="E61" s="129">
        <v>241542.22</v>
      </c>
      <c r="F61" s="129">
        <f>ROUND((D61-E61),5)</f>
        <v>946.26</v>
      </c>
    </row>
    <row r="62" spans="1:6">
      <c r="A62" s="115"/>
      <c r="B62" s="115" t="s">
        <v>145</v>
      </c>
      <c r="C62" s="115"/>
      <c r="D62" s="129"/>
      <c r="E62" s="129"/>
      <c r="F62" s="129"/>
    </row>
    <row r="63" spans="1:6">
      <c r="A63" s="115"/>
      <c r="B63" s="115"/>
      <c r="C63" s="115" t="s">
        <v>495</v>
      </c>
      <c r="D63" s="129">
        <v>17129.34</v>
      </c>
      <c r="E63" s="129">
        <v>18676.95</v>
      </c>
      <c r="F63" s="129">
        <f t="shared" ref="F63:F68" si="3">ROUND((D63-E63),5)</f>
        <v>-1547.61</v>
      </c>
    </row>
    <row r="64" spans="1:6">
      <c r="A64" s="115"/>
      <c r="B64" s="115"/>
      <c r="C64" s="115" t="s">
        <v>496</v>
      </c>
      <c r="D64" s="129">
        <v>2550</v>
      </c>
      <c r="E64" s="129">
        <v>2550</v>
      </c>
      <c r="F64" s="129">
        <f t="shared" si="3"/>
        <v>0</v>
      </c>
    </row>
    <row r="65" spans="1:6">
      <c r="A65" s="115"/>
      <c r="B65" s="115"/>
      <c r="C65" s="115" t="s">
        <v>497</v>
      </c>
      <c r="D65" s="129">
        <v>39636.92</v>
      </c>
      <c r="E65" s="129">
        <v>41079.949999999997</v>
      </c>
      <c r="F65" s="129">
        <f t="shared" si="3"/>
        <v>-1443.03</v>
      </c>
    </row>
    <row r="66" spans="1:6">
      <c r="A66" s="115"/>
      <c r="B66" s="115"/>
      <c r="C66" s="115" t="s">
        <v>498</v>
      </c>
      <c r="D66" s="129">
        <v>765.79</v>
      </c>
      <c r="E66" s="129">
        <v>446.18</v>
      </c>
      <c r="F66" s="129">
        <f t="shared" si="3"/>
        <v>319.61</v>
      </c>
    </row>
    <row r="67" spans="1:6">
      <c r="A67" s="115"/>
      <c r="B67" s="115"/>
      <c r="C67" s="115" t="s">
        <v>499</v>
      </c>
      <c r="D67" s="129">
        <v>1237</v>
      </c>
      <c r="E67" s="129">
        <v>1101</v>
      </c>
      <c r="F67" s="129">
        <f t="shared" si="3"/>
        <v>136</v>
      </c>
    </row>
    <row r="68" spans="1:6">
      <c r="A68" s="115"/>
      <c r="B68" s="115"/>
      <c r="C68" s="115" t="s">
        <v>500</v>
      </c>
      <c r="D68" s="129">
        <v>18055</v>
      </c>
      <c r="E68" s="129">
        <v>17955</v>
      </c>
      <c r="F68" s="129">
        <f t="shared" si="3"/>
        <v>100</v>
      </c>
    </row>
    <row r="69" spans="1:6">
      <c r="A69" s="115"/>
      <c r="B69" s="115"/>
      <c r="C69" s="115" t="s">
        <v>501</v>
      </c>
      <c r="D69" s="129"/>
      <c r="E69" s="129"/>
      <c r="F69" s="129"/>
    </row>
    <row r="70" spans="1:6">
      <c r="A70" s="115"/>
      <c r="B70" s="115"/>
      <c r="C70" s="133" t="s">
        <v>502</v>
      </c>
      <c r="D70" s="129">
        <v>9374.9</v>
      </c>
      <c r="E70" s="129">
        <v>10506.36</v>
      </c>
      <c r="F70" s="129">
        <f>ROUND((D70-E70),5)</f>
        <v>-1131.46</v>
      </c>
    </row>
    <row r="71" spans="1:6" ht="15.75" thickBot="1">
      <c r="A71" s="115"/>
      <c r="B71" s="115"/>
      <c r="C71" s="133" t="s">
        <v>503</v>
      </c>
      <c r="D71" s="130">
        <v>12281.32</v>
      </c>
      <c r="E71" s="130">
        <v>13650.52</v>
      </c>
      <c r="F71" s="130">
        <f>ROUND((D71-E71),5)</f>
        <v>-1369.2</v>
      </c>
    </row>
    <row r="72" spans="1:6">
      <c r="A72" s="115"/>
      <c r="B72" s="115"/>
      <c r="C72" s="115" t="s">
        <v>504</v>
      </c>
      <c r="D72" s="129">
        <f>ROUND(SUM(D69:D71),5)</f>
        <v>21656.22</v>
      </c>
      <c r="E72" s="129">
        <f>ROUND(SUM(E69:E71),5)</f>
        <v>24156.880000000001</v>
      </c>
      <c r="F72" s="129">
        <f>ROUND((D72-E72),5)</f>
        <v>-2500.66</v>
      </c>
    </row>
    <row r="73" spans="1:6">
      <c r="A73" s="115"/>
      <c r="B73" s="115"/>
      <c r="C73" s="115" t="s">
        <v>505</v>
      </c>
      <c r="D73" s="129"/>
      <c r="E73" s="129"/>
      <c r="F73" s="129"/>
    </row>
    <row r="74" spans="1:6">
      <c r="A74" s="115"/>
      <c r="B74" s="115"/>
      <c r="C74" s="133" t="s">
        <v>506</v>
      </c>
      <c r="D74" s="129">
        <v>-20.43</v>
      </c>
      <c r="E74" s="129">
        <v>1.17</v>
      </c>
      <c r="F74" s="129">
        <f t="shared" ref="F74:F79" si="4">ROUND((D74-E74),5)</f>
        <v>-21.6</v>
      </c>
    </row>
    <row r="75" spans="1:6" ht="15.75" thickBot="1">
      <c r="A75" s="115"/>
      <c r="B75" s="115"/>
      <c r="C75" s="133" t="s">
        <v>507</v>
      </c>
      <c r="D75" s="130">
        <v>1007.72</v>
      </c>
      <c r="E75" s="130">
        <v>621.16999999999996</v>
      </c>
      <c r="F75" s="130">
        <f t="shared" si="4"/>
        <v>386.55</v>
      </c>
    </row>
    <row r="76" spans="1:6">
      <c r="A76" s="115"/>
      <c r="B76" s="115"/>
      <c r="C76" s="115" t="s">
        <v>508</v>
      </c>
      <c r="D76" s="129">
        <f>ROUND(SUM(D73:D75),5)</f>
        <v>987.29</v>
      </c>
      <c r="E76" s="129">
        <f>ROUND(SUM(E73:E75),5)</f>
        <v>622.34</v>
      </c>
      <c r="F76" s="129">
        <f t="shared" si="4"/>
        <v>364.95</v>
      </c>
    </row>
    <row r="77" spans="1:6" ht="15.75" thickBot="1">
      <c r="A77" s="115"/>
      <c r="B77" s="115"/>
      <c r="C77" s="115" t="s">
        <v>411</v>
      </c>
      <c r="D77" s="130">
        <v>729.05</v>
      </c>
      <c r="E77" s="130">
        <v>809.48</v>
      </c>
      <c r="F77" s="130">
        <f t="shared" si="4"/>
        <v>-80.430000000000007</v>
      </c>
    </row>
    <row r="78" spans="1:6">
      <c r="A78" s="115"/>
      <c r="B78" s="115" t="s">
        <v>155</v>
      </c>
      <c r="C78" s="115"/>
      <c r="D78" s="129">
        <f>ROUND(SUM(D62:D68)+D72+SUM(D76:D77),5)</f>
        <v>102746.61</v>
      </c>
      <c r="E78" s="129">
        <f>ROUND(SUM(E62:E68)+E72+SUM(E76:E77),5)</f>
        <v>107397.78</v>
      </c>
      <c r="F78" s="129">
        <f t="shared" si="4"/>
        <v>-4651.17</v>
      </c>
    </row>
    <row r="79" spans="1:6">
      <c r="A79" s="115"/>
      <c r="B79" s="115" t="s">
        <v>156</v>
      </c>
      <c r="C79" s="115"/>
      <c r="D79" s="129">
        <v>52100</v>
      </c>
      <c r="E79" s="129">
        <v>49619</v>
      </c>
      <c r="F79" s="129">
        <f t="shared" si="4"/>
        <v>2481</v>
      </c>
    </row>
    <row r="80" spans="1:6">
      <c r="A80" s="115"/>
      <c r="B80" s="115" t="s">
        <v>157</v>
      </c>
      <c r="C80" s="115"/>
      <c r="D80" s="129"/>
      <c r="E80" s="129"/>
      <c r="F80" s="129"/>
    </row>
    <row r="81" spans="1:6">
      <c r="A81" s="115"/>
      <c r="B81" s="115"/>
      <c r="C81" s="115" t="s">
        <v>509</v>
      </c>
      <c r="D81" s="129">
        <v>9768.1</v>
      </c>
      <c r="E81" s="129">
        <v>8288.19</v>
      </c>
      <c r="F81" s="129">
        <f t="shared" ref="F81:F95" si="5">ROUND((D81-E81),5)</f>
        <v>1479.91</v>
      </c>
    </row>
    <row r="82" spans="1:6">
      <c r="A82" s="115"/>
      <c r="B82" s="115"/>
      <c r="C82" s="115" t="s">
        <v>412</v>
      </c>
      <c r="D82" s="129">
        <v>250</v>
      </c>
      <c r="E82" s="129">
        <v>300</v>
      </c>
      <c r="F82" s="129">
        <f t="shared" si="5"/>
        <v>-50</v>
      </c>
    </row>
    <row r="83" spans="1:6">
      <c r="A83" s="115"/>
      <c r="B83" s="115"/>
      <c r="C83" s="115" t="s">
        <v>510</v>
      </c>
      <c r="D83" s="129">
        <v>13685.7</v>
      </c>
      <c r="E83" s="129">
        <v>9730</v>
      </c>
      <c r="F83" s="129">
        <f t="shared" si="5"/>
        <v>3955.7</v>
      </c>
    </row>
    <row r="84" spans="1:6">
      <c r="A84" s="115"/>
      <c r="B84" s="115"/>
      <c r="C84" s="115" t="s">
        <v>414</v>
      </c>
      <c r="D84" s="129">
        <v>605</v>
      </c>
      <c r="E84" s="129">
        <v>600</v>
      </c>
      <c r="F84" s="129">
        <f t="shared" si="5"/>
        <v>5</v>
      </c>
    </row>
    <row r="85" spans="1:6">
      <c r="A85" s="115"/>
      <c r="B85" s="115"/>
      <c r="C85" s="115" t="s">
        <v>540</v>
      </c>
      <c r="D85" s="129">
        <v>2345</v>
      </c>
      <c r="E85" s="129">
        <v>9555</v>
      </c>
      <c r="F85" s="129">
        <f t="shared" si="5"/>
        <v>-7210</v>
      </c>
    </row>
    <row r="86" spans="1:6">
      <c r="A86" s="115"/>
      <c r="B86" s="115"/>
      <c r="C86" s="115" t="s">
        <v>541</v>
      </c>
      <c r="D86" s="129">
        <v>100</v>
      </c>
      <c r="E86" s="129">
        <v>0</v>
      </c>
      <c r="F86" s="129">
        <f t="shared" si="5"/>
        <v>100</v>
      </c>
    </row>
    <row r="87" spans="1:6">
      <c r="A87" s="115"/>
      <c r="B87" s="115"/>
      <c r="C87" s="115" t="s">
        <v>415</v>
      </c>
      <c r="D87" s="129">
        <v>1499.73</v>
      </c>
      <c r="E87" s="129">
        <v>1348.45</v>
      </c>
      <c r="F87" s="129">
        <f t="shared" si="5"/>
        <v>151.28</v>
      </c>
    </row>
    <row r="88" spans="1:6">
      <c r="A88" s="115"/>
      <c r="B88" s="115"/>
      <c r="C88" s="115" t="s">
        <v>159</v>
      </c>
      <c r="D88" s="129">
        <v>842.76</v>
      </c>
      <c r="E88" s="129">
        <v>928.39</v>
      </c>
      <c r="F88" s="129">
        <f t="shared" si="5"/>
        <v>-85.63</v>
      </c>
    </row>
    <row r="89" spans="1:6">
      <c r="A89" s="115"/>
      <c r="B89" s="115"/>
      <c r="C89" s="115" t="s">
        <v>160</v>
      </c>
      <c r="D89" s="129">
        <v>10052.77</v>
      </c>
      <c r="E89" s="129">
        <v>10672.12</v>
      </c>
      <c r="F89" s="129">
        <f t="shared" si="5"/>
        <v>-619.35</v>
      </c>
    </row>
    <row r="90" spans="1:6">
      <c r="A90" s="115"/>
      <c r="B90" s="115"/>
      <c r="C90" s="115" t="s">
        <v>161</v>
      </c>
      <c r="D90" s="129">
        <v>4984.16</v>
      </c>
      <c r="E90" s="129">
        <v>5219.59</v>
      </c>
      <c r="F90" s="129">
        <f t="shared" si="5"/>
        <v>-235.43</v>
      </c>
    </row>
    <row r="91" spans="1:6">
      <c r="A91" s="115"/>
      <c r="B91" s="115"/>
      <c r="C91" s="115" t="s">
        <v>416</v>
      </c>
      <c r="D91" s="129">
        <v>9849.51</v>
      </c>
      <c r="E91" s="129">
        <v>11464.31</v>
      </c>
      <c r="F91" s="129">
        <f t="shared" si="5"/>
        <v>-1614.8</v>
      </c>
    </row>
    <row r="92" spans="1:6">
      <c r="A92" s="115"/>
      <c r="B92" s="115"/>
      <c r="C92" s="115" t="s">
        <v>163</v>
      </c>
      <c r="D92" s="129">
        <v>0</v>
      </c>
      <c r="E92" s="129">
        <v>2873.47</v>
      </c>
      <c r="F92" s="129">
        <f t="shared" si="5"/>
        <v>-2873.47</v>
      </c>
    </row>
    <row r="93" spans="1:6">
      <c r="A93" s="115"/>
      <c r="B93" s="115"/>
      <c r="C93" s="115" t="s">
        <v>164</v>
      </c>
      <c r="D93" s="129">
        <v>2736.11</v>
      </c>
      <c r="E93" s="129">
        <v>210.7</v>
      </c>
      <c r="F93" s="129">
        <f t="shared" si="5"/>
        <v>2525.41</v>
      </c>
    </row>
    <row r="94" spans="1:6" ht="15.75" thickBot="1">
      <c r="A94" s="115"/>
      <c r="B94" s="115"/>
      <c r="C94" s="115" t="s">
        <v>165</v>
      </c>
      <c r="D94" s="130">
        <v>0</v>
      </c>
      <c r="E94" s="130">
        <v>-500</v>
      </c>
      <c r="F94" s="130">
        <f t="shared" si="5"/>
        <v>500</v>
      </c>
    </row>
    <row r="95" spans="1:6">
      <c r="A95" s="115"/>
      <c r="B95" s="115" t="s">
        <v>166</v>
      </c>
      <c r="C95" s="115"/>
      <c r="D95" s="129">
        <f>ROUND(SUM(D80:D94),5)</f>
        <v>56718.84</v>
      </c>
      <c r="E95" s="129">
        <f>ROUND(SUM(E80:E94),5)</f>
        <v>60690.22</v>
      </c>
      <c r="F95" s="129">
        <f t="shared" si="5"/>
        <v>-3971.38</v>
      </c>
    </row>
    <row r="96" spans="1:6">
      <c r="A96" s="115"/>
      <c r="B96" s="115" t="s">
        <v>167</v>
      </c>
      <c r="C96" s="115"/>
      <c r="D96" s="129"/>
      <c r="E96" s="129"/>
      <c r="F96" s="129"/>
    </row>
    <row r="97" spans="1:6">
      <c r="A97" s="115"/>
      <c r="B97" s="115"/>
      <c r="C97" s="115" t="s">
        <v>542</v>
      </c>
      <c r="D97" s="129">
        <v>5204.8900000000003</v>
      </c>
      <c r="E97" s="129">
        <v>416.83</v>
      </c>
      <c r="F97" s="129">
        <f>ROUND((D97-E97),5)</f>
        <v>4788.0600000000004</v>
      </c>
    </row>
    <row r="98" spans="1:6">
      <c r="A98" s="115"/>
      <c r="B98" s="115"/>
      <c r="C98" s="115" t="s">
        <v>558</v>
      </c>
      <c r="D98" s="129">
        <v>180.98</v>
      </c>
      <c r="E98" s="129">
        <v>0</v>
      </c>
      <c r="F98" s="129">
        <f>ROUND((D98-E98),5)</f>
        <v>180.98</v>
      </c>
    </row>
    <row r="99" spans="1:6" ht="15.75" thickBot="1">
      <c r="A99" s="115"/>
      <c r="B99" s="115"/>
      <c r="C99" s="115" t="s">
        <v>543</v>
      </c>
      <c r="D99" s="130">
        <v>1657.57</v>
      </c>
      <c r="E99" s="130">
        <v>1810.05</v>
      </c>
      <c r="F99" s="130">
        <f>ROUND((D99-E99),5)</f>
        <v>-152.47999999999999</v>
      </c>
    </row>
    <row r="100" spans="1:6">
      <c r="A100" s="115"/>
      <c r="B100" s="115" t="s">
        <v>544</v>
      </c>
      <c r="C100" s="115"/>
      <c r="D100" s="129">
        <f>ROUND(SUM(D96:D99),5)</f>
        <v>7043.44</v>
      </c>
      <c r="E100" s="129">
        <f>ROUND(SUM(E96:E99),5)</f>
        <v>2226.88</v>
      </c>
      <c r="F100" s="129">
        <f>ROUND((D100-E100),5)</f>
        <v>4816.5600000000004</v>
      </c>
    </row>
    <row r="101" spans="1:6">
      <c r="A101" s="115"/>
      <c r="B101" s="115" t="s">
        <v>168</v>
      </c>
      <c r="C101" s="115"/>
      <c r="D101" s="129">
        <v>3397.9</v>
      </c>
      <c r="E101" s="129">
        <v>4715.03</v>
      </c>
      <c r="F101" s="129">
        <f>ROUND((D101-E101),5)</f>
        <v>-1317.13</v>
      </c>
    </row>
    <row r="102" spans="1:6">
      <c r="A102" s="115"/>
      <c r="B102" s="115" t="s">
        <v>169</v>
      </c>
      <c r="C102" s="115"/>
      <c r="D102" s="129"/>
      <c r="E102" s="129"/>
      <c r="F102" s="129"/>
    </row>
    <row r="103" spans="1:6">
      <c r="A103" s="115"/>
      <c r="B103" s="115"/>
      <c r="C103" s="115" t="s">
        <v>170</v>
      </c>
      <c r="D103" s="129">
        <v>7613.92</v>
      </c>
      <c r="E103" s="129">
        <v>9215.34</v>
      </c>
      <c r="F103" s="129">
        <f>ROUND((D103-E103),5)</f>
        <v>-1601.42</v>
      </c>
    </row>
    <row r="104" spans="1:6">
      <c r="A104" s="115"/>
      <c r="B104" s="115"/>
      <c r="C104" s="115" t="s">
        <v>171</v>
      </c>
      <c r="D104" s="129">
        <v>296.95</v>
      </c>
      <c r="E104" s="129">
        <v>3296.34</v>
      </c>
      <c r="F104" s="129">
        <f>ROUND((D104-E104),5)</f>
        <v>-2999.39</v>
      </c>
    </row>
    <row r="105" spans="1:6">
      <c r="A105" s="115"/>
      <c r="B105" s="115"/>
      <c r="C105" s="115" t="s">
        <v>172</v>
      </c>
      <c r="D105" s="129">
        <v>557.97</v>
      </c>
      <c r="E105" s="129">
        <v>725.15</v>
      </c>
      <c r="F105" s="129">
        <f>ROUND((D105-E105),5)</f>
        <v>-167.18</v>
      </c>
    </row>
    <row r="106" spans="1:6" ht="15.75" thickBot="1">
      <c r="A106" s="115"/>
      <c r="B106" s="115"/>
      <c r="C106" s="115" t="s">
        <v>173</v>
      </c>
      <c r="D106" s="130">
        <v>4849.97</v>
      </c>
      <c r="E106" s="130">
        <v>3483.98</v>
      </c>
      <c r="F106" s="130">
        <f>ROUND((D106-E106),5)</f>
        <v>1365.99</v>
      </c>
    </row>
    <row r="107" spans="1:6">
      <c r="A107" s="115"/>
      <c r="B107" s="115" t="s">
        <v>174</v>
      </c>
      <c r="C107" s="115"/>
      <c r="D107" s="129">
        <f>ROUND(SUM(D102:D106),5)</f>
        <v>13318.81</v>
      </c>
      <c r="E107" s="129">
        <f>ROUND(SUM(E102:E106),5)</f>
        <v>16720.810000000001</v>
      </c>
      <c r="F107" s="129">
        <f>ROUND((D107-E107),5)</f>
        <v>-3402</v>
      </c>
    </row>
    <row r="108" spans="1:6">
      <c r="A108" s="115"/>
      <c r="B108" s="115" t="s">
        <v>175</v>
      </c>
      <c r="C108" s="115"/>
      <c r="D108" s="129"/>
      <c r="E108" s="129"/>
      <c r="F108" s="129"/>
    </row>
    <row r="109" spans="1:6">
      <c r="A109" s="115"/>
      <c r="B109" s="115"/>
      <c r="C109" s="115" t="s">
        <v>176</v>
      </c>
      <c r="D109" s="129">
        <v>3254.84</v>
      </c>
      <c r="E109" s="129">
        <v>2654.43</v>
      </c>
      <c r="F109" s="129">
        <f t="shared" ref="F109:F116" si="6">ROUND((D109-E109),5)</f>
        <v>600.41</v>
      </c>
    </row>
    <row r="110" spans="1:6">
      <c r="A110" s="115"/>
      <c r="B110" s="115"/>
      <c r="C110" s="115" t="s">
        <v>177</v>
      </c>
      <c r="D110" s="129">
        <v>0</v>
      </c>
      <c r="E110" s="129">
        <v>749.5</v>
      </c>
      <c r="F110" s="129">
        <f t="shared" si="6"/>
        <v>-749.5</v>
      </c>
    </row>
    <row r="111" spans="1:6">
      <c r="A111" s="115"/>
      <c r="B111" s="115"/>
      <c r="C111" s="115" t="s">
        <v>178</v>
      </c>
      <c r="D111" s="129">
        <v>1085.77</v>
      </c>
      <c r="E111" s="129">
        <v>591.16</v>
      </c>
      <c r="F111" s="129">
        <f t="shared" si="6"/>
        <v>494.61</v>
      </c>
    </row>
    <row r="112" spans="1:6">
      <c r="A112" s="115"/>
      <c r="B112" s="115"/>
      <c r="C112" s="115" t="s">
        <v>381</v>
      </c>
      <c r="D112" s="129">
        <v>17863.11</v>
      </c>
      <c r="E112" s="129">
        <v>4182.54</v>
      </c>
      <c r="F112" s="129">
        <f t="shared" si="6"/>
        <v>13680.57</v>
      </c>
    </row>
    <row r="113" spans="1:6">
      <c r="A113" s="115"/>
      <c r="B113" s="115"/>
      <c r="C113" s="115" t="s">
        <v>179</v>
      </c>
      <c r="D113" s="129">
        <v>5372.02</v>
      </c>
      <c r="E113" s="129">
        <v>5973.01</v>
      </c>
      <c r="F113" s="129">
        <f t="shared" si="6"/>
        <v>-600.99</v>
      </c>
    </row>
    <row r="114" spans="1:6">
      <c r="A114" s="115"/>
      <c r="B114" s="115"/>
      <c r="C114" s="115" t="s">
        <v>382</v>
      </c>
      <c r="D114" s="129">
        <v>2756.48</v>
      </c>
      <c r="E114" s="129">
        <v>644.9</v>
      </c>
      <c r="F114" s="129">
        <f t="shared" si="6"/>
        <v>2111.58</v>
      </c>
    </row>
    <row r="115" spans="1:6" ht="15.75" thickBot="1">
      <c r="A115" s="115"/>
      <c r="B115" s="115"/>
      <c r="C115" s="115" t="s">
        <v>180</v>
      </c>
      <c r="D115" s="130">
        <v>1816.05</v>
      </c>
      <c r="E115" s="130">
        <v>0</v>
      </c>
      <c r="F115" s="130">
        <f t="shared" si="6"/>
        <v>1816.05</v>
      </c>
    </row>
    <row r="116" spans="1:6">
      <c r="A116" s="115"/>
      <c r="B116" s="115" t="s">
        <v>181</v>
      </c>
      <c r="C116" s="115"/>
      <c r="D116" s="129">
        <f>ROUND(SUM(D108:D115),5)</f>
        <v>32148.27</v>
      </c>
      <c r="E116" s="129">
        <f>ROUND(SUM(E108:E115),5)</f>
        <v>14795.54</v>
      </c>
      <c r="F116" s="129">
        <f t="shared" si="6"/>
        <v>17352.73</v>
      </c>
    </row>
    <row r="117" spans="1:6">
      <c r="A117" s="115"/>
      <c r="B117" s="115" t="s">
        <v>182</v>
      </c>
      <c r="C117" s="115"/>
      <c r="D117" s="129"/>
      <c r="E117" s="129"/>
      <c r="F117" s="129"/>
    </row>
    <row r="118" spans="1:6">
      <c r="A118" s="115"/>
      <c r="B118" s="115"/>
      <c r="C118" s="115" t="s">
        <v>183</v>
      </c>
      <c r="D118" s="129">
        <v>11481.04</v>
      </c>
      <c r="E118" s="129">
        <v>7287.53</v>
      </c>
      <c r="F118" s="129">
        <f t="shared" ref="F118:F124" si="7">ROUND((D118-E118),5)</f>
        <v>4193.51</v>
      </c>
    </row>
    <row r="119" spans="1:6">
      <c r="A119" s="115"/>
      <c r="B119" s="115"/>
      <c r="C119" s="115" t="s">
        <v>186</v>
      </c>
      <c r="D119" s="129">
        <v>1553.94</v>
      </c>
      <c r="E119" s="129">
        <v>2097.61</v>
      </c>
      <c r="F119" s="129">
        <f t="shared" si="7"/>
        <v>-543.66999999999996</v>
      </c>
    </row>
    <row r="120" spans="1:6">
      <c r="A120" s="115"/>
      <c r="B120" s="115"/>
      <c r="C120" s="115" t="s">
        <v>187</v>
      </c>
      <c r="D120" s="129">
        <v>3379.56</v>
      </c>
      <c r="E120" s="129">
        <v>2434.33</v>
      </c>
      <c r="F120" s="129">
        <f t="shared" si="7"/>
        <v>945.23</v>
      </c>
    </row>
    <row r="121" spans="1:6">
      <c r="A121" s="115"/>
      <c r="B121" s="115"/>
      <c r="C121" s="115" t="s">
        <v>188</v>
      </c>
      <c r="D121" s="129">
        <v>327.25</v>
      </c>
      <c r="E121" s="129">
        <v>246.9</v>
      </c>
      <c r="F121" s="129">
        <f t="shared" si="7"/>
        <v>80.349999999999994</v>
      </c>
    </row>
    <row r="122" spans="1:6">
      <c r="A122" s="115"/>
      <c r="B122" s="115"/>
      <c r="C122" s="115" t="s">
        <v>417</v>
      </c>
      <c r="D122" s="129">
        <v>237.27</v>
      </c>
      <c r="E122" s="129">
        <v>0</v>
      </c>
      <c r="F122" s="129">
        <f t="shared" si="7"/>
        <v>237.27</v>
      </c>
    </row>
    <row r="123" spans="1:6" ht="15.75" thickBot="1">
      <c r="A123" s="115"/>
      <c r="B123" s="115"/>
      <c r="C123" s="115" t="s">
        <v>189</v>
      </c>
      <c r="D123" s="130">
        <v>0</v>
      </c>
      <c r="E123" s="130">
        <v>585</v>
      </c>
      <c r="F123" s="130">
        <f t="shared" si="7"/>
        <v>-585</v>
      </c>
    </row>
    <row r="124" spans="1:6">
      <c r="A124" s="115"/>
      <c r="B124" s="115" t="s">
        <v>190</v>
      </c>
      <c r="C124" s="115"/>
      <c r="D124" s="129">
        <f>ROUND(SUM(D117:D123),5)</f>
        <v>16979.060000000001</v>
      </c>
      <c r="E124" s="129">
        <f>ROUND(SUM(E117:E123),5)</f>
        <v>12651.37</v>
      </c>
      <c r="F124" s="129">
        <f t="shared" si="7"/>
        <v>4327.6899999999996</v>
      </c>
    </row>
    <row r="125" spans="1:6">
      <c r="A125" s="115"/>
      <c r="B125" s="115" t="s">
        <v>418</v>
      </c>
      <c r="C125" s="115"/>
      <c r="D125" s="129"/>
      <c r="E125" s="129"/>
      <c r="F125" s="129"/>
    </row>
    <row r="126" spans="1:6">
      <c r="A126" s="115"/>
      <c r="B126" s="115"/>
      <c r="C126" s="115" t="s">
        <v>191</v>
      </c>
      <c r="D126" s="129">
        <v>24738.83</v>
      </c>
      <c r="E126" s="129">
        <v>22477.19</v>
      </c>
      <c r="F126" s="129">
        <f>ROUND((D126-E126),5)</f>
        <v>2261.64</v>
      </c>
    </row>
    <row r="127" spans="1:6">
      <c r="A127" s="115"/>
      <c r="B127" s="115"/>
      <c r="C127" s="115" t="s">
        <v>192</v>
      </c>
      <c r="D127" s="129">
        <v>3631.82</v>
      </c>
      <c r="E127" s="129">
        <v>511.43</v>
      </c>
      <c r="F127" s="129">
        <f>ROUND((D127-E127),5)</f>
        <v>3120.39</v>
      </c>
    </row>
    <row r="128" spans="1:6">
      <c r="A128" s="115"/>
      <c r="B128" s="115"/>
      <c r="C128" s="115" t="s">
        <v>193</v>
      </c>
      <c r="D128" s="129">
        <v>5730.98</v>
      </c>
      <c r="E128" s="129">
        <v>5952.48</v>
      </c>
      <c r="F128" s="129">
        <f>ROUND((D128-E128),5)</f>
        <v>-221.5</v>
      </c>
    </row>
    <row r="129" spans="1:6" ht="15.75" thickBot="1">
      <c r="A129" s="115"/>
      <c r="B129" s="115"/>
      <c r="C129" s="115" t="s">
        <v>419</v>
      </c>
      <c r="D129" s="130">
        <v>1706.43</v>
      </c>
      <c r="E129" s="130">
        <v>0</v>
      </c>
      <c r="F129" s="130">
        <f>ROUND((D129-E129),5)</f>
        <v>1706.43</v>
      </c>
    </row>
    <row r="130" spans="1:6">
      <c r="A130" s="115"/>
      <c r="B130" s="115" t="s">
        <v>421</v>
      </c>
      <c r="C130" s="115"/>
      <c r="D130" s="129">
        <f>ROUND(SUM(D125:D129),5)</f>
        <v>35808.06</v>
      </c>
      <c r="E130" s="129">
        <f>ROUND(SUM(E125:E129),5)</f>
        <v>28941.1</v>
      </c>
      <c r="F130" s="129">
        <f>ROUND((D130-E130),5)</f>
        <v>6866.96</v>
      </c>
    </row>
    <row r="131" spans="1:6">
      <c r="A131" s="115"/>
      <c r="B131" s="115" t="s">
        <v>194</v>
      </c>
      <c r="C131" s="115"/>
      <c r="D131" s="129"/>
      <c r="E131" s="129"/>
      <c r="F131" s="129"/>
    </row>
    <row r="132" spans="1:6">
      <c r="A132" s="115"/>
      <c r="B132" s="115"/>
      <c r="C132" s="115" t="s">
        <v>195</v>
      </c>
      <c r="D132" s="129">
        <v>22068.33</v>
      </c>
      <c r="E132" s="129">
        <v>39715.980000000003</v>
      </c>
      <c r="F132" s="129">
        <f t="shared" ref="F132:F137" si="8">ROUND((D132-E132),5)</f>
        <v>-17647.650000000001</v>
      </c>
    </row>
    <row r="133" spans="1:6">
      <c r="A133" s="115"/>
      <c r="B133" s="115"/>
      <c r="C133" s="115" t="s">
        <v>196</v>
      </c>
      <c r="D133" s="129">
        <v>27978</v>
      </c>
      <c r="E133" s="129">
        <v>25415.22</v>
      </c>
      <c r="F133" s="129">
        <f t="shared" si="8"/>
        <v>2562.7800000000002</v>
      </c>
    </row>
    <row r="134" spans="1:6">
      <c r="A134" s="115"/>
      <c r="B134" s="115"/>
      <c r="C134" s="115" t="s">
        <v>197</v>
      </c>
      <c r="D134" s="129">
        <v>20180.23</v>
      </c>
      <c r="E134" s="129">
        <v>30578.03</v>
      </c>
      <c r="F134" s="129">
        <f t="shared" si="8"/>
        <v>-10397.799999999999</v>
      </c>
    </row>
    <row r="135" spans="1:6">
      <c r="A135" s="115"/>
      <c r="B135" s="115"/>
      <c r="C135" s="115" t="s">
        <v>511</v>
      </c>
      <c r="D135" s="129">
        <v>0</v>
      </c>
      <c r="E135" s="129">
        <v>194.14</v>
      </c>
      <c r="F135" s="129">
        <f t="shared" si="8"/>
        <v>-194.14</v>
      </c>
    </row>
    <row r="136" spans="1:6" ht="15.75" thickBot="1">
      <c r="A136" s="115"/>
      <c r="B136" s="115"/>
      <c r="C136" s="115" t="s">
        <v>383</v>
      </c>
      <c r="D136" s="130">
        <v>3380</v>
      </c>
      <c r="E136" s="130">
        <v>0</v>
      </c>
      <c r="F136" s="130">
        <f t="shared" si="8"/>
        <v>3380</v>
      </c>
    </row>
    <row r="137" spans="1:6">
      <c r="A137" s="115"/>
      <c r="B137" s="115" t="s">
        <v>198</v>
      </c>
      <c r="C137" s="115"/>
      <c r="D137" s="129">
        <f>ROUND(SUM(D131:D136),5)</f>
        <v>73606.559999999998</v>
      </c>
      <c r="E137" s="129">
        <f>ROUND(SUM(E131:E136),5)</f>
        <v>95903.37</v>
      </c>
      <c r="F137" s="129">
        <f t="shared" si="8"/>
        <v>-22296.81</v>
      </c>
    </row>
    <row r="138" spans="1:6">
      <c r="A138" s="115"/>
      <c r="B138" s="115" t="s">
        <v>422</v>
      </c>
      <c r="C138" s="115"/>
      <c r="D138" s="129"/>
      <c r="E138" s="129"/>
      <c r="F138" s="129"/>
    </row>
    <row r="139" spans="1:6">
      <c r="A139" s="115"/>
      <c r="B139" s="115"/>
      <c r="C139" s="115" t="s">
        <v>199</v>
      </c>
      <c r="D139" s="129">
        <v>16344.74</v>
      </c>
      <c r="E139" s="129">
        <v>9800.6200000000008</v>
      </c>
      <c r="F139" s="129">
        <f>ROUND((D139-E139),5)</f>
        <v>6544.12</v>
      </c>
    </row>
    <row r="140" spans="1:6" ht="15.75" thickBot="1">
      <c r="A140" s="115"/>
      <c r="B140" s="115"/>
      <c r="C140" s="115" t="s">
        <v>200</v>
      </c>
      <c r="D140" s="130">
        <v>100</v>
      </c>
      <c r="E140" s="130">
        <v>0</v>
      </c>
      <c r="F140" s="130">
        <f>ROUND((D140-E140),5)</f>
        <v>100</v>
      </c>
    </row>
    <row r="141" spans="1:6">
      <c r="A141" s="115"/>
      <c r="B141" s="115" t="s">
        <v>424</v>
      </c>
      <c r="C141" s="115"/>
      <c r="D141" s="129">
        <f>ROUND(SUM(D138:D140),5)</f>
        <v>16444.740000000002</v>
      </c>
      <c r="E141" s="129">
        <f>ROUND(SUM(E138:E140),5)</f>
        <v>9800.6200000000008</v>
      </c>
      <c r="F141" s="129">
        <f>ROUND((D141-E141),5)</f>
        <v>6644.12</v>
      </c>
    </row>
    <row r="142" spans="1:6">
      <c r="A142" s="115"/>
      <c r="B142" s="115" t="s">
        <v>201</v>
      </c>
      <c r="C142" s="115"/>
      <c r="D142" s="129"/>
      <c r="E142" s="129"/>
      <c r="F142" s="129"/>
    </row>
    <row r="143" spans="1:6">
      <c r="A143" s="115"/>
      <c r="B143" s="115"/>
      <c r="C143" s="115" t="s">
        <v>202</v>
      </c>
      <c r="D143" s="129">
        <v>9967.14</v>
      </c>
      <c r="E143" s="129">
        <v>826.19</v>
      </c>
      <c r="F143" s="129">
        <f>ROUND((D143-E143),5)</f>
        <v>9140.9500000000007</v>
      </c>
    </row>
    <row r="144" spans="1:6" ht="15.75" thickBot="1">
      <c r="A144" s="115"/>
      <c r="B144" s="115"/>
      <c r="C144" s="115" t="s">
        <v>203</v>
      </c>
      <c r="D144" s="130">
        <v>725</v>
      </c>
      <c r="E144" s="130">
        <v>450</v>
      </c>
      <c r="F144" s="130">
        <f>ROUND((D144-E144),5)</f>
        <v>275</v>
      </c>
    </row>
    <row r="145" spans="1:6">
      <c r="A145" s="115"/>
      <c r="B145" s="115" t="s">
        <v>204</v>
      </c>
      <c r="C145" s="115"/>
      <c r="D145" s="129">
        <f>ROUND(SUM(D142:D144),5)</f>
        <v>10692.14</v>
      </c>
      <c r="E145" s="129">
        <f>ROUND(SUM(E142:E144),5)</f>
        <v>1276.19</v>
      </c>
      <c r="F145" s="129">
        <f>ROUND((D145-E145),5)</f>
        <v>9415.9500000000007</v>
      </c>
    </row>
    <row r="146" spans="1:6">
      <c r="A146" s="115"/>
      <c r="B146" s="115" t="s">
        <v>205</v>
      </c>
      <c r="C146" s="115"/>
      <c r="D146" s="129"/>
      <c r="E146" s="129"/>
      <c r="F146" s="129"/>
    </row>
    <row r="147" spans="1:6">
      <c r="A147" s="115"/>
      <c r="B147" s="115"/>
      <c r="C147" s="115" t="s">
        <v>206</v>
      </c>
      <c r="D147" s="129">
        <v>8794.49</v>
      </c>
      <c r="E147" s="129">
        <v>8663.6</v>
      </c>
      <c r="F147" s="129">
        <f>ROUND((D147-E147),5)</f>
        <v>130.88999999999999</v>
      </c>
    </row>
    <row r="148" spans="1:6" ht="15.75" thickBot="1">
      <c r="A148" s="115"/>
      <c r="B148" s="115"/>
      <c r="C148" s="115" t="s">
        <v>425</v>
      </c>
      <c r="D148" s="130">
        <v>5672.87</v>
      </c>
      <c r="E148" s="130">
        <v>5516.8</v>
      </c>
      <c r="F148" s="130">
        <f>ROUND((D148-E148),5)</f>
        <v>156.07</v>
      </c>
    </row>
    <row r="149" spans="1:6">
      <c r="A149" s="115"/>
      <c r="B149" s="115" t="s">
        <v>207</v>
      </c>
      <c r="C149" s="115"/>
      <c r="D149" s="129">
        <f>ROUND(SUM(D146:D148),5)</f>
        <v>14467.36</v>
      </c>
      <c r="E149" s="129">
        <f>ROUND(SUM(E146:E148),5)</f>
        <v>14180.4</v>
      </c>
      <c r="F149" s="129">
        <f>ROUND((D149-E149),5)</f>
        <v>286.95999999999998</v>
      </c>
    </row>
    <row r="150" spans="1:6">
      <c r="A150" s="115"/>
      <c r="B150" s="115" t="s">
        <v>208</v>
      </c>
      <c r="C150" s="115"/>
      <c r="D150" s="129"/>
      <c r="E150" s="129"/>
      <c r="F150" s="129"/>
    </row>
    <row r="151" spans="1:6">
      <c r="A151" s="115"/>
      <c r="B151" s="115"/>
      <c r="C151" s="115" t="s">
        <v>209</v>
      </c>
      <c r="D151" s="129">
        <v>4043.78</v>
      </c>
      <c r="E151" s="129">
        <v>3775.62</v>
      </c>
      <c r="F151" s="129">
        <f>ROUND((D151-E151),5)</f>
        <v>268.16000000000003</v>
      </c>
    </row>
    <row r="152" spans="1:6">
      <c r="A152" s="115"/>
      <c r="B152" s="115"/>
      <c r="C152" s="115" t="s">
        <v>427</v>
      </c>
      <c r="D152" s="129">
        <v>3646.3</v>
      </c>
      <c r="E152" s="129">
        <v>3437.65</v>
      </c>
      <c r="F152" s="129">
        <f>ROUND((D152-E152),5)</f>
        <v>208.65</v>
      </c>
    </row>
    <row r="153" spans="1:6" ht="15.75" thickBot="1">
      <c r="A153" s="115"/>
      <c r="B153" s="115"/>
      <c r="C153" s="115" t="s">
        <v>210</v>
      </c>
      <c r="D153" s="130">
        <v>3271.88</v>
      </c>
      <c r="E153" s="130">
        <v>3228.14</v>
      </c>
      <c r="F153" s="130">
        <f>ROUND((D153-E153),5)</f>
        <v>43.74</v>
      </c>
    </row>
    <row r="154" spans="1:6">
      <c r="A154" s="115"/>
      <c r="B154" s="115" t="s">
        <v>211</v>
      </c>
      <c r="C154" s="115"/>
      <c r="D154" s="129">
        <f>ROUND(SUM(D150:D153),5)</f>
        <v>10961.96</v>
      </c>
      <c r="E154" s="129">
        <f>ROUND(SUM(E150:E153),5)</f>
        <v>10441.41</v>
      </c>
      <c r="F154" s="129">
        <f>ROUND((D154-E154),5)</f>
        <v>520.54999999999995</v>
      </c>
    </row>
    <row r="155" spans="1:6">
      <c r="A155" s="115"/>
      <c r="B155" s="115" t="s">
        <v>212</v>
      </c>
      <c r="C155" s="115"/>
      <c r="D155" s="129"/>
      <c r="E155" s="129"/>
      <c r="F155" s="129"/>
    </row>
    <row r="156" spans="1:6">
      <c r="A156" s="115"/>
      <c r="B156" s="115"/>
      <c r="C156" s="115" t="s">
        <v>213</v>
      </c>
      <c r="D156" s="129">
        <v>1456.17</v>
      </c>
      <c r="E156" s="129">
        <v>1275.49</v>
      </c>
      <c r="F156" s="129">
        <f t="shared" ref="F156:F161" si="9">ROUND((D156-E156),5)</f>
        <v>180.68</v>
      </c>
    </row>
    <row r="157" spans="1:6" ht="15.75" thickBot="1">
      <c r="A157" s="115"/>
      <c r="B157" s="115"/>
      <c r="C157" s="115" t="s">
        <v>214</v>
      </c>
      <c r="D157" s="130">
        <v>4568.93</v>
      </c>
      <c r="E157" s="130">
        <v>2003.2</v>
      </c>
      <c r="F157" s="130">
        <f t="shared" si="9"/>
        <v>2565.73</v>
      </c>
    </row>
    <row r="158" spans="1:6">
      <c r="A158" s="115"/>
      <c r="B158" s="115" t="s">
        <v>216</v>
      </c>
      <c r="C158" s="115"/>
      <c r="D158" s="129">
        <f>ROUND(SUM(D155:D157),5)</f>
        <v>6025.1</v>
      </c>
      <c r="E158" s="129">
        <f>ROUND(SUM(E155:E157),5)</f>
        <v>3278.69</v>
      </c>
      <c r="F158" s="129">
        <f t="shared" si="9"/>
        <v>2746.41</v>
      </c>
    </row>
    <row r="159" spans="1:6">
      <c r="A159" s="115"/>
      <c r="B159" s="115" t="s">
        <v>217</v>
      </c>
      <c r="C159" s="115"/>
      <c r="D159" s="129">
        <v>2225.17</v>
      </c>
      <c r="E159" s="129">
        <v>4710.1000000000004</v>
      </c>
      <c r="F159" s="129">
        <f t="shared" si="9"/>
        <v>-2484.9299999999998</v>
      </c>
    </row>
    <row r="160" spans="1:6" ht="15.75" thickBot="1">
      <c r="A160" s="115"/>
      <c r="B160" s="115" t="s">
        <v>512</v>
      </c>
      <c r="C160" s="115"/>
      <c r="D160" s="130">
        <v>71100</v>
      </c>
      <c r="E160" s="130">
        <v>62100</v>
      </c>
      <c r="F160" s="130">
        <f t="shared" si="9"/>
        <v>9000</v>
      </c>
    </row>
    <row r="161" spans="1:6">
      <c r="A161" s="115" t="s">
        <v>218</v>
      </c>
      <c r="B161" s="115"/>
      <c r="C161" s="115"/>
      <c r="D161" s="129">
        <f>ROUND(D52+D56+SUM(D60:D61)+SUM(D78:D79)+D95+SUM(D100:D101)+D107+D116+D124+D130+D137+D141+D145+D149+D154+SUM(D158:D160),5)</f>
        <v>917162.76</v>
      </c>
      <c r="E161" s="129">
        <f>ROUND(E52+E56+SUM(E60:E61)+SUM(E78:E79)+E95+SUM(E100:E101)+E107+E116+E124+E130+E137+E141+E145+E149+E154+SUM(E158:E160),5)</f>
        <v>894572.07</v>
      </c>
      <c r="F161" s="129">
        <f t="shared" si="9"/>
        <v>22590.69</v>
      </c>
    </row>
    <row r="162" spans="1:6">
      <c r="A162" s="115" t="s">
        <v>219</v>
      </c>
      <c r="B162" s="115"/>
      <c r="C162" s="115"/>
      <c r="D162" s="129"/>
      <c r="E162" s="129"/>
      <c r="F162" s="129"/>
    </row>
    <row r="163" spans="1:6">
      <c r="A163" s="115"/>
      <c r="B163" s="115" t="s">
        <v>241</v>
      </c>
      <c r="C163" s="115"/>
      <c r="D163" s="129"/>
      <c r="E163" s="129"/>
      <c r="F163" s="129"/>
    </row>
    <row r="164" spans="1:6" ht="15.75" thickBot="1">
      <c r="A164" s="115"/>
      <c r="B164" s="115"/>
      <c r="C164" s="115" t="s">
        <v>242</v>
      </c>
      <c r="D164" s="129">
        <v>0</v>
      </c>
      <c r="E164" s="129">
        <v>0</v>
      </c>
      <c r="F164" s="129">
        <f>ROUND((D164-E164),5)</f>
        <v>0</v>
      </c>
    </row>
    <row r="165" spans="1:6" ht="15.75" thickBot="1">
      <c r="A165" s="115"/>
      <c r="B165" s="115" t="s">
        <v>245</v>
      </c>
      <c r="C165" s="115"/>
      <c r="D165" s="131">
        <f>ROUND(SUM(D163:D164),5)</f>
        <v>0</v>
      </c>
      <c r="E165" s="131">
        <f>ROUND(SUM(E163:E164),5)</f>
        <v>0</v>
      </c>
      <c r="F165" s="131">
        <f>ROUND((D165-E165),5)</f>
        <v>0</v>
      </c>
    </row>
    <row r="166" spans="1:6">
      <c r="A166" s="115" t="s">
        <v>261</v>
      </c>
      <c r="B166" s="115"/>
      <c r="C166" s="115"/>
      <c r="D166" s="129">
        <f>ROUND(D162+D165,5)</f>
        <v>0</v>
      </c>
      <c r="E166" s="129">
        <f>ROUND(E162+E165,5)</f>
        <v>0</v>
      </c>
      <c r="F166" s="129">
        <f>ROUND((D166-E166),5)</f>
        <v>0</v>
      </c>
    </row>
    <row r="167" spans="1:6">
      <c r="A167" s="115" t="s">
        <v>559</v>
      </c>
      <c r="B167" s="115"/>
      <c r="C167" s="115"/>
      <c r="D167" s="129"/>
      <c r="E167" s="129"/>
      <c r="F167" s="129"/>
    </row>
    <row r="168" spans="1:6" ht="15.75" thickBot="1">
      <c r="A168" s="115"/>
      <c r="B168" s="115" t="s">
        <v>444</v>
      </c>
      <c r="C168" s="115"/>
      <c r="D168" s="129">
        <v>0</v>
      </c>
      <c r="E168" s="129">
        <v>0</v>
      </c>
      <c r="F168" s="129">
        <f>ROUND((D168-E168),5)</f>
        <v>0</v>
      </c>
    </row>
    <row r="169" spans="1:6" ht="15.75" thickBot="1">
      <c r="A169" s="115" t="s">
        <v>560</v>
      </c>
      <c r="B169" s="115"/>
      <c r="C169" s="115"/>
      <c r="D169" s="134">
        <f>ROUND(SUM(D167:D168),5)</f>
        <v>0</v>
      </c>
      <c r="E169" s="134">
        <f>ROUND(SUM(E167:E168),5)</f>
        <v>0</v>
      </c>
      <c r="F169" s="134">
        <f>ROUND((D169-E169),5)</f>
        <v>0</v>
      </c>
    </row>
    <row r="170" spans="1:6" ht="15.75" thickBot="1">
      <c r="A170" s="128" t="s">
        <v>264</v>
      </c>
      <c r="B170" s="115"/>
      <c r="C170" s="115"/>
      <c r="D170" s="134">
        <f>ROUND(D51+D161+D166+D169,5)</f>
        <v>917162.76</v>
      </c>
      <c r="E170" s="134">
        <f>ROUND(E51+E161+E166+E169,5)</f>
        <v>894572.07</v>
      </c>
      <c r="F170" s="134">
        <f>ROUND((D170-E170),5)</f>
        <v>22590.69</v>
      </c>
    </row>
    <row r="171" spans="1:6" s="114" customFormat="1" ht="12" thickBot="1">
      <c r="A171" s="132" t="s">
        <v>265</v>
      </c>
      <c r="B171" s="115"/>
      <c r="C171" s="115"/>
      <c r="D171" s="135">
        <f>ROUND(D50-D170,5)</f>
        <v>120215.87</v>
      </c>
      <c r="E171" s="135">
        <f>ROUND(E50-E170,5)</f>
        <v>140594.93</v>
      </c>
      <c r="F171" s="135">
        <f>ROUND((D171-E171),5)</f>
        <v>-20379.060000000001</v>
      </c>
    </row>
    <row r="172" spans="1:6" ht="15.75" thickTop="1"/>
    <row r="173" spans="1:6">
      <c r="D173" s="125">
        <f>D171-D48-D47</f>
        <v>118215.87</v>
      </c>
      <c r="E173" s="125">
        <f>E171-E48-E47</f>
        <v>66029.91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71FEE-ED44-4236-A12B-2740126FDA8B}">
  <sheetPr>
    <tabColor theme="0" tint="-0.499984740745262"/>
  </sheetPr>
  <dimension ref="A1:J157"/>
  <sheetViews>
    <sheetView topLeftCell="A135" workbookViewId="0">
      <selection activeCell="G163" sqref="G163"/>
    </sheetView>
  </sheetViews>
  <sheetFormatPr defaultRowHeight="15"/>
  <cols>
    <col min="1" max="1" width="24.28515625" style="113" bestFit="1" customWidth="1"/>
    <col min="2" max="2" width="29.85546875" style="113" bestFit="1" customWidth="1"/>
    <col min="3" max="3" width="11.85546875" style="113" bestFit="1" customWidth="1"/>
    <col min="4" max="4" width="8.7109375" style="113" bestFit="1" customWidth="1"/>
    <col min="5" max="5" width="11.85546875" style="113" bestFit="1" customWidth="1"/>
    <col min="6" max="6" width="28" style="113" hidden="1" customWidth="1"/>
    <col min="7" max="7" width="70" style="113" bestFit="1" customWidth="1"/>
    <col min="8" max="8" width="23.42578125" style="113" bestFit="1" customWidth="1"/>
    <col min="9" max="9" width="10.5703125" style="113" bestFit="1" customWidth="1"/>
    <col min="10" max="10" width="8.42578125" style="113" bestFit="1" customWidth="1"/>
    <col min="11" max="16384" width="9.140625" style="113"/>
  </cols>
  <sheetData>
    <row r="1" spans="1:10" s="117" customFormat="1" ht="15.75" thickBot="1">
      <c r="A1" s="146"/>
      <c r="B1" s="146"/>
      <c r="C1" s="147" t="s">
        <v>344</v>
      </c>
      <c r="D1" s="147" t="s">
        <v>345</v>
      </c>
      <c r="E1" s="147" t="s">
        <v>346</v>
      </c>
      <c r="F1" s="147" t="s">
        <v>347</v>
      </c>
      <c r="G1" s="147" t="s">
        <v>348</v>
      </c>
      <c r="H1" s="147" t="s">
        <v>349</v>
      </c>
      <c r="I1" s="147" t="s">
        <v>283</v>
      </c>
      <c r="J1" s="147" t="s">
        <v>350</v>
      </c>
    </row>
    <row r="2" spans="1:10" ht="15.75" thickTop="1">
      <c r="A2" s="115" t="s">
        <v>332</v>
      </c>
      <c r="B2" s="115"/>
      <c r="C2" s="115"/>
      <c r="D2" s="121"/>
      <c r="E2" s="115"/>
      <c r="F2" s="115"/>
      <c r="G2" s="115"/>
      <c r="H2" s="115"/>
      <c r="I2" s="122"/>
      <c r="J2" s="122">
        <v>3466</v>
      </c>
    </row>
    <row r="3" spans="1:10">
      <c r="A3" s="115"/>
      <c r="B3" s="115" t="s">
        <v>333</v>
      </c>
      <c r="C3" s="115"/>
      <c r="D3" s="121"/>
      <c r="E3" s="115"/>
      <c r="F3" s="115"/>
      <c r="G3" s="115"/>
      <c r="H3" s="115"/>
      <c r="I3" s="122"/>
      <c r="J3" s="122">
        <v>110</v>
      </c>
    </row>
    <row r="4" spans="1:10">
      <c r="A4" s="120"/>
      <c r="B4" s="120"/>
      <c r="C4" s="120" t="s">
        <v>351</v>
      </c>
      <c r="D4" s="123">
        <v>44566</v>
      </c>
      <c r="E4" s="120"/>
      <c r="F4" s="120"/>
      <c r="G4" s="120" t="s">
        <v>567</v>
      </c>
      <c r="H4" s="120" t="s">
        <v>514</v>
      </c>
      <c r="I4" s="119">
        <v>73.849999999999994</v>
      </c>
      <c r="J4" s="119">
        <f t="shared" ref="J4:J12" si="0">ROUND(J3+I4,5)</f>
        <v>183.85</v>
      </c>
    </row>
    <row r="5" spans="1:10">
      <c r="A5" s="120"/>
      <c r="B5" s="120"/>
      <c r="C5" s="120" t="s">
        <v>533</v>
      </c>
      <c r="D5" s="123">
        <v>44566</v>
      </c>
      <c r="E5" s="120" t="s">
        <v>568</v>
      </c>
      <c r="F5" s="120"/>
      <c r="G5" s="120" t="s">
        <v>569</v>
      </c>
      <c r="H5" s="120" t="s">
        <v>537</v>
      </c>
      <c r="I5" s="119">
        <v>1.1499999999999999</v>
      </c>
      <c r="J5" s="119">
        <f t="shared" si="0"/>
        <v>185</v>
      </c>
    </row>
    <row r="6" spans="1:10">
      <c r="A6" s="120"/>
      <c r="B6" s="120"/>
      <c r="C6" s="120" t="s">
        <v>351</v>
      </c>
      <c r="D6" s="123">
        <v>44605</v>
      </c>
      <c r="E6" s="120"/>
      <c r="F6" s="120"/>
      <c r="G6" s="120" t="s">
        <v>351</v>
      </c>
      <c r="H6" s="120" t="s">
        <v>514</v>
      </c>
      <c r="I6" s="119">
        <v>3874.55</v>
      </c>
      <c r="J6" s="119">
        <f t="shared" si="0"/>
        <v>4059.55</v>
      </c>
    </row>
    <row r="7" spans="1:10">
      <c r="A7" s="120"/>
      <c r="B7" s="120"/>
      <c r="C7" s="120" t="s">
        <v>351</v>
      </c>
      <c r="D7" s="123">
        <v>44612</v>
      </c>
      <c r="E7" s="120"/>
      <c r="F7" s="120"/>
      <c r="G7" s="120" t="s">
        <v>351</v>
      </c>
      <c r="H7" s="120" t="s">
        <v>514</v>
      </c>
      <c r="I7" s="119">
        <v>255</v>
      </c>
      <c r="J7" s="119">
        <f t="shared" si="0"/>
        <v>4314.55</v>
      </c>
    </row>
    <row r="8" spans="1:10">
      <c r="A8" s="120"/>
      <c r="B8" s="120"/>
      <c r="C8" s="120" t="s">
        <v>351</v>
      </c>
      <c r="D8" s="123">
        <v>44615</v>
      </c>
      <c r="E8" s="120"/>
      <c r="F8" s="120"/>
      <c r="G8" s="120" t="s">
        <v>570</v>
      </c>
      <c r="H8" s="120" t="s">
        <v>514</v>
      </c>
      <c r="I8" s="119">
        <v>127.56</v>
      </c>
      <c r="J8" s="119">
        <f t="shared" si="0"/>
        <v>4442.1099999999997</v>
      </c>
    </row>
    <row r="9" spans="1:10">
      <c r="A9" s="120"/>
      <c r="B9" s="120"/>
      <c r="C9" s="120" t="s">
        <v>533</v>
      </c>
      <c r="D9" s="123">
        <v>44615</v>
      </c>
      <c r="E9" s="120" t="s">
        <v>571</v>
      </c>
      <c r="F9" s="120"/>
      <c r="G9" s="120" t="s">
        <v>572</v>
      </c>
      <c r="H9" s="120" t="s">
        <v>537</v>
      </c>
      <c r="I9" s="119">
        <v>2.44</v>
      </c>
      <c r="J9" s="119">
        <f t="shared" si="0"/>
        <v>4444.55</v>
      </c>
    </row>
    <row r="10" spans="1:10">
      <c r="A10" s="120"/>
      <c r="B10" s="120"/>
      <c r="C10" s="120" t="s">
        <v>352</v>
      </c>
      <c r="D10" s="123">
        <v>44655</v>
      </c>
      <c r="E10" s="120" t="s">
        <v>573</v>
      </c>
      <c r="F10" s="120" t="s">
        <v>548</v>
      </c>
      <c r="G10" s="120" t="s">
        <v>574</v>
      </c>
      <c r="H10" s="120" t="s">
        <v>514</v>
      </c>
      <c r="I10" s="119">
        <v>-4444.55</v>
      </c>
      <c r="J10" s="119">
        <f t="shared" si="0"/>
        <v>0</v>
      </c>
    </row>
    <row r="11" spans="1:10">
      <c r="A11" s="120"/>
      <c r="B11" s="120"/>
      <c r="C11" s="120" t="s">
        <v>533</v>
      </c>
      <c r="D11" s="123">
        <v>44713</v>
      </c>
      <c r="E11" s="120" t="s">
        <v>575</v>
      </c>
      <c r="F11" s="120"/>
      <c r="G11" s="120" t="s">
        <v>576</v>
      </c>
      <c r="H11" s="120" t="s">
        <v>537</v>
      </c>
      <c r="I11" s="119">
        <v>0.56999999999999995</v>
      </c>
      <c r="J11" s="119">
        <f t="shared" si="0"/>
        <v>0.56999999999999995</v>
      </c>
    </row>
    <row r="12" spans="1:10" ht="15.75" thickBot="1">
      <c r="A12" s="120"/>
      <c r="B12" s="120"/>
      <c r="C12" s="120" t="s">
        <v>351</v>
      </c>
      <c r="D12" s="123">
        <v>44713</v>
      </c>
      <c r="E12" s="120"/>
      <c r="F12" s="120"/>
      <c r="G12" s="120" t="s">
        <v>577</v>
      </c>
      <c r="H12" s="120" t="s">
        <v>514</v>
      </c>
      <c r="I12" s="148">
        <v>29.43</v>
      </c>
      <c r="J12" s="148">
        <f t="shared" si="0"/>
        <v>30</v>
      </c>
    </row>
    <row r="13" spans="1:10">
      <c r="A13" s="120"/>
      <c r="B13" s="120" t="s">
        <v>353</v>
      </c>
      <c r="C13" s="120"/>
      <c r="D13" s="123"/>
      <c r="E13" s="120"/>
      <c r="F13" s="120"/>
      <c r="G13" s="120"/>
      <c r="H13" s="120"/>
      <c r="I13" s="119">
        <f>ROUND(SUM(I3:I12),5)</f>
        <v>-80</v>
      </c>
      <c r="J13" s="119">
        <f>J12</f>
        <v>30</v>
      </c>
    </row>
    <row r="14" spans="1:10">
      <c r="A14" s="115"/>
      <c r="B14" s="115" t="s">
        <v>334</v>
      </c>
      <c r="C14" s="115"/>
      <c r="D14" s="121"/>
      <c r="E14" s="115"/>
      <c r="F14" s="115"/>
      <c r="G14" s="115"/>
      <c r="H14" s="115"/>
      <c r="I14" s="122"/>
      <c r="J14" s="122">
        <v>10</v>
      </c>
    </row>
    <row r="15" spans="1:10">
      <c r="A15" s="120"/>
      <c r="B15" s="120"/>
      <c r="C15" s="120" t="s">
        <v>351</v>
      </c>
      <c r="D15" s="123">
        <v>44419</v>
      </c>
      <c r="E15" s="120"/>
      <c r="F15" s="120"/>
      <c r="G15" s="120" t="s">
        <v>351</v>
      </c>
      <c r="H15" s="120" t="s">
        <v>514</v>
      </c>
      <c r="I15" s="119">
        <v>9.67</v>
      </c>
      <c r="J15" s="119">
        <f t="shared" ref="J15:J24" si="1">ROUND(J14+I15,5)</f>
        <v>19.670000000000002</v>
      </c>
    </row>
    <row r="16" spans="1:10">
      <c r="A16" s="120"/>
      <c r="B16" s="120"/>
      <c r="C16" s="120" t="s">
        <v>351</v>
      </c>
      <c r="D16" s="123">
        <v>44577</v>
      </c>
      <c r="E16" s="120"/>
      <c r="F16" s="120"/>
      <c r="G16" s="120" t="s">
        <v>351</v>
      </c>
      <c r="H16" s="120" t="s">
        <v>514</v>
      </c>
      <c r="I16" s="119">
        <v>3054</v>
      </c>
      <c r="J16" s="119">
        <f t="shared" si="1"/>
        <v>3073.67</v>
      </c>
    </row>
    <row r="17" spans="1:10">
      <c r="A17" s="120"/>
      <c r="B17" s="120"/>
      <c r="C17" s="120" t="s">
        <v>351</v>
      </c>
      <c r="D17" s="123">
        <v>44584</v>
      </c>
      <c r="E17" s="120"/>
      <c r="F17" s="120"/>
      <c r="G17" s="120" t="s">
        <v>351</v>
      </c>
      <c r="H17" s="120" t="s">
        <v>514</v>
      </c>
      <c r="I17" s="119">
        <v>300</v>
      </c>
      <c r="J17" s="119">
        <f t="shared" si="1"/>
        <v>3373.67</v>
      </c>
    </row>
    <row r="18" spans="1:10">
      <c r="A18" s="120"/>
      <c r="B18" s="120"/>
      <c r="C18" s="120" t="s">
        <v>351</v>
      </c>
      <c r="D18" s="123">
        <v>44587</v>
      </c>
      <c r="E18" s="120"/>
      <c r="F18" s="120"/>
      <c r="G18" s="120" t="s">
        <v>578</v>
      </c>
      <c r="H18" s="120" t="s">
        <v>514</v>
      </c>
      <c r="I18" s="119">
        <v>9.86</v>
      </c>
      <c r="J18" s="119">
        <f t="shared" si="1"/>
        <v>3383.53</v>
      </c>
    </row>
    <row r="19" spans="1:10">
      <c r="A19" s="120"/>
      <c r="B19" s="120"/>
      <c r="C19" s="120" t="s">
        <v>533</v>
      </c>
      <c r="D19" s="123">
        <v>44587</v>
      </c>
      <c r="E19" s="120" t="s">
        <v>579</v>
      </c>
      <c r="F19" s="120"/>
      <c r="G19" s="120" t="s">
        <v>580</v>
      </c>
      <c r="H19" s="120" t="s">
        <v>537</v>
      </c>
      <c r="I19" s="119">
        <v>0.14000000000000001</v>
      </c>
      <c r="J19" s="119">
        <f t="shared" si="1"/>
        <v>3383.67</v>
      </c>
    </row>
    <row r="20" spans="1:10">
      <c r="A20" s="120"/>
      <c r="B20" s="120"/>
      <c r="C20" s="120" t="s">
        <v>352</v>
      </c>
      <c r="D20" s="123">
        <v>44655</v>
      </c>
      <c r="E20" s="120" t="s">
        <v>581</v>
      </c>
      <c r="F20" s="120" t="s">
        <v>548</v>
      </c>
      <c r="G20" s="120" t="s">
        <v>582</v>
      </c>
      <c r="H20" s="120" t="s">
        <v>514</v>
      </c>
      <c r="I20" s="119">
        <v>-3383.67</v>
      </c>
      <c r="J20" s="119">
        <f t="shared" si="1"/>
        <v>0</v>
      </c>
    </row>
    <row r="21" spans="1:10">
      <c r="A21" s="120"/>
      <c r="B21" s="120"/>
      <c r="C21" s="120" t="s">
        <v>351</v>
      </c>
      <c r="D21" s="123">
        <v>44657</v>
      </c>
      <c r="E21" s="120"/>
      <c r="F21" s="120"/>
      <c r="G21" s="120" t="s">
        <v>583</v>
      </c>
      <c r="H21" s="120" t="s">
        <v>514</v>
      </c>
      <c r="I21" s="119">
        <v>9.81</v>
      </c>
      <c r="J21" s="119">
        <f t="shared" si="1"/>
        <v>9.81</v>
      </c>
    </row>
    <row r="22" spans="1:10">
      <c r="A22" s="120"/>
      <c r="B22" s="120"/>
      <c r="C22" s="120" t="s">
        <v>533</v>
      </c>
      <c r="D22" s="123">
        <v>44657</v>
      </c>
      <c r="E22" s="120" t="s">
        <v>584</v>
      </c>
      <c r="F22" s="120"/>
      <c r="G22" s="120" t="s">
        <v>585</v>
      </c>
      <c r="H22" s="120" t="s">
        <v>537</v>
      </c>
      <c r="I22" s="119">
        <v>0.19</v>
      </c>
      <c r="J22" s="119">
        <f t="shared" si="1"/>
        <v>10</v>
      </c>
    </row>
    <row r="23" spans="1:10">
      <c r="A23" s="120"/>
      <c r="B23" s="120"/>
      <c r="C23" s="120" t="s">
        <v>533</v>
      </c>
      <c r="D23" s="123">
        <v>44720</v>
      </c>
      <c r="E23" s="120" t="s">
        <v>586</v>
      </c>
      <c r="F23" s="120"/>
      <c r="G23" s="120" t="s">
        <v>587</v>
      </c>
      <c r="H23" s="120" t="s">
        <v>537</v>
      </c>
      <c r="I23" s="119">
        <v>0.2</v>
      </c>
      <c r="J23" s="119">
        <f t="shared" si="1"/>
        <v>10.199999999999999</v>
      </c>
    </row>
    <row r="24" spans="1:10" ht="15.75" thickBot="1">
      <c r="A24" s="120"/>
      <c r="B24" s="120"/>
      <c r="C24" s="120" t="s">
        <v>533</v>
      </c>
      <c r="D24" s="123">
        <v>44727</v>
      </c>
      <c r="E24" s="120" t="s">
        <v>588</v>
      </c>
      <c r="F24" s="120"/>
      <c r="G24" s="120" t="s">
        <v>589</v>
      </c>
      <c r="H24" s="120" t="s">
        <v>537</v>
      </c>
      <c r="I24" s="148">
        <v>0</v>
      </c>
      <c r="J24" s="148">
        <f t="shared" si="1"/>
        <v>10.199999999999999</v>
      </c>
    </row>
    <row r="25" spans="1:10">
      <c r="A25" s="120"/>
      <c r="B25" s="120" t="s">
        <v>354</v>
      </c>
      <c r="C25" s="120"/>
      <c r="D25" s="123"/>
      <c r="E25" s="120"/>
      <c r="F25" s="120"/>
      <c r="G25" s="120"/>
      <c r="H25" s="120"/>
      <c r="I25" s="119">
        <f>ROUND(SUM(I14:I24),5)</f>
        <v>0.2</v>
      </c>
      <c r="J25" s="119">
        <f>J24</f>
        <v>10.199999999999999</v>
      </c>
    </row>
    <row r="26" spans="1:10">
      <c r="A26" s="115"/>
      <c r="B26" s="115" t="s">
        <v>355</v>
      </c>
      <c r="C26" s="115"/>
      <c r="D26" s="121"/>
      <c r="E26" s="115"/>
      <c r="F26" s="115"/>
      <c r="G26" s="115"/>
      <c r="H26" s="115"/>
      <c r="I26" s="122"/>
      <c r="J26" s="122">
        <v>10</v>
      </c>
    </row>
    <row r="27" spans="1:10">
      <c r="A27" s="120"/>
      <c r="B27" s="120"/>
      <c r="C27" s="120" t="s">
        <v>351</v>
      </c>
      <c r="D27" s="123">
        <v>44691</v>
      </c>
      <c r="E27" s="120"/>
      <c r="F27" s="120"/>
      <c r="G27" s="120" t="s">
        <v>351</v>
      </c>
      <c r="H27" s="120" t="s">
        <v>514</v>
      </c>
      <c r="I27" s="119">
        <v>1268</v>
      </c>
      <c r="J27" s="119">
        <f t="shared" ref="J27:J33" si="2">ROUND(J26+I27,5)</f>
        <v>1278</v>
      </c>
    </row>
    <row r="28" spans="1:10">
      <c r="A28" s="120"/>
      <c r="B28" s="120"/>
      <c r="C28" s="120" t="s">
        <v>351</v>
      </c>
      <c r="D28" s="123">
        <v>44699</v>
      </c>
      <c r="E28" s="120"/>
      <c r="F28" s="120"/>
      <c r="G28" s="120" t="s">
        <v>590</v>
      </c>
      <c r="H28" s="120" t="s">
        <v>514</v>
      </c>
      <c r="I28" s="119">
        <v>48.89</v>
      </c>
      <c r="J28" s="119">
        <f t="shared" si="2"/>
        <v>1326.89</v>
      </c>
    </row>
    <row r="29" spans="1:10">
      <c r="A29" s="120"/>
      <c r="B29" s="120"/>
      <c r="C29" s="120" t="s">
        <v>533</v>
      </c>
      <c r="D29" s="123">
        <v>44699</v>
      </c>
      <c r="E29" s="120" t="s">
        <v>549</v>
      </c>
      <c r="F29" s="120"/>
      <c r="G29" s="120" t="s">
        <v>591</v>
      </c>
      <c r="H29" s="120" t="s">
        <v>537</v>
      </c>
      <c r="I29" s="119">
        <v>1.1100000000000001</v>
      </c>
      <c r="J29" s="119">
        <f t="shared" si="2"/>
        <v>1328</v>
      </c>
    </row>
    <row r="30" spans="1:10">
      <c r="A30" s="120"/>
      <c r="B30" s="120"/>
      <c r="C30" s="120" t="s">
        <v>351</v>
      </c>
      <c r="D30" s="123">
        <v>44712</v>
      </c>
      <c r="E30" s="120"/>
      <c r="F30" s="120"/>
      <c r="G30" s="120" t="s">
        <v>351</v>
      </c>
      <c r="H30" s="120" t="s">
        <v>514</v>
      </c>
      <c r="I30" s="119">
        <v>1032</v>
      </c>
      <c r="J30" s="119">
        <f t="shared" si="2"/>
        <v>2360</v>
      </c>
    </row>
    <row r="31" spans="1:10">
      <c r="A31" s="120"/>
      <c r="B31" s="120"/>
      <c r="C31" s="120" t="s">
        <v>351</v>
      </c>
      <c r="D31" s="123">
        <v>44717</v>
      </c>
      <c r="E31" s="120"/>
      <c r="F31" s="120"/>
      <c r="G31" s="120" t="s">
        <v>351</v>
      </c>
      <c r="H31" s="120" t="s">
        <v>514</v>
      </c>
      <c r="I31" s="119">
        <v>355</v>
      </c>
      <c r="J31" s="119">
        <f t="shared" si="2"/>
        <v>2715</v>
      </c>
    </row>
    <row r="32" spans="1:10">
      <c r="A32" s="120"/>
      <c r="B32" s="120"/>
      <c r="C32" s="120" t="s">
        <v>351</v>
      </c>
      <c r="D32" s="123">
        <v>44724</v>
      </c>
      <c r="E32" s="120"/>
      <c r="F32" s="120"/>
      <c r="G32" s="120" t="s">
        <v>351</v>
      </c>
      <c r="H32" s="120" t="s">
        <v>514</v>
      </c>
      <c r="I32" s="119">
        <v>30</v>
      </c>
      <c r="J32" s="119">
        <f t="shared" si="2"/>
        <v>2745</v>
      </c>
    </row>
    <row r="33" spans="1:10" ht="15.75" thickBot="1">
      <c r="A33" s="120"/>
      <c r="B33" s="120"/>
      <c r="C33" s="120" t="s">
        <v>352</v>
      </c>
      <c r="D33" s="123">
        <v>44735</v>
      </c>
      <c r="E33" s="120" t="s">
        <v>592</v>
      </c>
      <c r="F33" s="120" t="s">
        <v>548</v>
      </c>
      <c r="G33" s="120" t="s">
        <v>593</v>
      </c>
      <c r="H33" s="120" t="s">
        <v>514</v>
      </c>
      <c r="I33" s="148">
        <v>-2745</v>
      </c>
      <c r="J33" s="148">
        <f t="shared" si="2"/>
        <v>0</v>
      </c>
    </row>
    <row r="34" spans="1:10">
      <c r="A34" s="120"/>
      <c r="B34" s="120" t="s">
        <v>356</v>
      </c>
      <c r="C34" s="120"/>
      <c r="D34" s="123"/>
      <c r="E34" s="120"/>
      <c r="F34" s="120"/>
      <c r="G34" s="120"/>
      <c r="H34" s="120"/>
      <c r="I34" s="119">
        <v>-10</v>
      </c>
      <c r="J34" s="119">
        <v>0</v>
      </c>
    </row>
    <row r="35" spans="1:10">
      <c r="A35" s="115"/>
      <c r="B35" s="115" t="s">
        <v>357</v>
      </c>
      <c r="C35" s="115"/>
      <c r="D35" s="121"/>
      <c r="E35" s="115"/>
      <c r="F35" s="115"/>
      <c r="G35" s="115"/>
      <c r="H35" s="115"/>
      <c r="I35" s="122"/>
      <c r="J35" s="122">
        <v>10</v>
      </c>
    </row>
    <row r="36" spans="1:10">
      <c r="A36" s="120"/>
      <c r="B36" s="120"/>
      <c r="C36" s="120" t="s">
        <v>351</v>
      </c>
      <c r="D36" s="123">
        <v>44405</v>
      </c>
      <c r="E36" s="120"/>
      <c r="F36" s="120"/>
      <c r="G36" s="120" t="s">
        <v>594</v>
      </c>
      <c r="H36" s="120" t="s">
        <v>514</v>
      </c>
      <c r="I36" s="119">
        <v>9.82</v>
      </c>
      <c r="J36" s="119">
        <f t="shared" ref="J36:J46" si="3">ROUND(J35+I36,5)</f>
        <v>19.82</v>
      </c>
    </row>
    <row r="37" spans="1:10">
      <c r="A37" s="120"/>
      <c r="B37" s="120"/>
      <c r="C37" s="120" t="s">
        <v>533</v>
      </c>
      <c r="D37" s="123">
        <v>44405</v>
      </c>
      <c r="E37" s="120" t="s">
        <v>595</v>
      </c>
      <c r="F37" s="120"/>
      <c r="G37" s="120" t="s">
        <v>596</v>
      </c>
      <c r="H37" s="120" t="s">
        <v>537</v>
      </c>
      <c r="I37" s="119">
        <v>0.18</v>
      </c>
      <c r="J37" s="119">
        <f t="shared" si="3"/>
        <v>20</v>
      </c>
    </row>
    <row r="38" spans="1:10">
      <c r="A38" s="120"/>
      <c r="B38" s="120"/>
      <c r="C38" s="120" t="s">
        <v>351</v>
      </c>
      <c r="D38" s="123">
        <v>44447</v>
      </c>
      <c r="E38" s="120"/>
      <c r="F38" s="120"/>
      <c r="G38" s="120" t="s">
        <v>351</v>
      </c>
      <c r="H38" s="120" t="s">
        <v>514</v>
      </c>
      <c r="I38" s="119">
        <v>2191.35</v>
      </c>
      <c r="J38" s="119">
        <f t="shared" si="3"/>
        <v>2211.35</v>
      </c>
    </row>
    <row r="39" spans="1:10">
      <c r="A39" s="120"/>
      <c r="B39" s="120"/>
      <c r="C39" s="120" t="s">
        <v>351</v>
      </c>
      <c r="D39" s="123">
        <v>44451</v>
      </c>
      <c r="E39" s="120"/>
      <c r="F39" s="120"/>
      <c r="G39" s="120" t="s">
        <v>351</v>
      </c>
      <c r="H39" s="120" t="s">
        <v>514</v>
      </c>
      <c r="I39" s="119">
        <v>265</v>
      </c>
      <c r="J39" s="119">
        <f t="shared" si="3"/>
        <v>2476.35</v>
      </c>
    </row>
    <row r="40" spans="1:10">
      <c r="A40" s="120"/>
      <c r="B40" s="120"/>
      <c r="C40" s="120" t="s">
        <v>352</v>
      </c>
      <c r="D40" s="123">
        <v>44497</v>
      </c>
      <c r="E40" s="120" t="s">
        <v>597</v>
      </c>
      <c r="F40" s="120" t="s">
        <v>548</v>
      </c>
      <c r="G40" s="120" t="s">
        <v>598</v>
      </c>
      <c r="H40" s="120" t="s">
        <v>514</v>
      </c>
      <c r="I40" s="119">
        <v>-2476.35</v>
      </c>
      <c r="J40" s="119">
        <f t="shared" si="3"/>
        <v>0</v>
      </c>
    </row>
    <row r="41" spans="1:10">
      <c r="A41" s="120"/>
      <c r="B41" s="120"/>
      <c r="C41" s="120" t="s">
        <v>351</v>
      </c>
      <c r="D41" s="123">
        <v>44567</v>
      </c>
      <c r="E41" s="120"/>
      <c r="F41" s="120"/>
      <c r="G41" s="120" t="s">
        <v>599</v>
      </c>
      <c r="H41" s="120" t="s">
        <v>514</v>
      </c>
      <c r="I41" s="119">
        <v>50</v>
      </c>
      <c r="J41" s="119">
        <f t="shared" si="3"/>
        <v>50</v>
      </c>
    </row>
    <row r="42" spans="1:10">
      <c r="A42" s="120"/>
      <c r="B42" s="120"/>
      <c r="C42" s="120" t="s">
        <v>351</v>
      </c>
      <c r="D42" s="123">
        <v>44706</v>
      </c>
      <c r="E42" s="120"/>
      <c r="F42" s="120"/>
      <c r="G42" s="120" t="s">
        <v>600</v>
      </c>
      <c r="H42" s="120" t="s">
        <v>514</v>
      </c>
      <c r="I42" s="119">
        <v>9.7899999999999991</v>
      </c>
      <c r="J42" s="119">
        <f t="shared" si="3"/>
        <v>59.79</v>
      </c>
    </row>
    <row r="43" spans="1:10">
      <c r="A43" s="120"/>
      <c r="B43" s="120"/>
      <c r="C43" s="120" t="s">
        <v>533</v>
      </c>
      <c r="D43" s="123">
        <v>44706</v>
      </c>
      <c r="E43" s="120" t="s">
        <v>550</v>
      </c>
      <c r="F43" s="120"/>
      <c r="G43" s="120" t="s">
        <v>601</v>
      </c>
      <c r="H43" s="120" t="s">
        <v>537</v>
      </c>
      <c r="I43" s="119">
        <v>0.21</v>
      </c>
      <c r="J43" s="119">
        <f t="shared" si="3"/>
        <v>60</v>
      </c>
    </row>
    <row r="44" spans="1:10">
      <c r="A44" s="120"/>
      <c r="B44" s="120"/>
      <c r="C44" s="120" t="s">
        <v>533</v>
      </c>
      <c r="D44" s="123">
        <v>44731</v>
      </c>
      <c r="E44" s="120" t="s">
        <v>602</v>
      </c>
      <c r="F44" s="120"/>
      <c r="G44" s="120" t="s">
        <v>603</v>
      </c>
      <c r="H44" s="120" t="s">
        <v>77</v>
      </c>
      <c r="I44" s="119">
        <v>100</v>
      </c>
      <c r="J44" s="119">
        <f t="shared" si="3"/>
        <v>160</v>
      </c>
    </row>
    <row r="45" spans="1:10">
      <c r="A45" s="120"/>
      <c r="B45" s="120"/>
      <c r="C45" s="120" t="s">
        <v>351</v>
      </c>
      <c r="D45" s="123">
        <v>44734</v>
      </c>
      <c r="E45" s="120"/>
      <c r="F45" s="120"/>
      <c r="G45" s="120" t="s">
        <v>604</v>
      </c>
      <c r="H45" s="120" t="s">
        <v>514</v>
      </c>
      <c r="I45" s="119">
        <v>48.95</v>
      </c>
      <c r="J45" s="119">
        <f t="shared" si="3"/>
        <v>208.95</v>
      </c>
    </row>
    <row r="46" spans="1:10" ht="15.75" thickBot="1">
      <c r="A46" s="120"/>
      <c r="B46" s="120"/>
      <c r="C46" s="120" t="s">
        <v>533</v>
      </c>
      <c r="D46" s="123">
        <v>44734</v>
      </c>
      <c r="E46" s="120" t="s">
        <v>605</v>
      </c>
      <c r="F46" s="120"/>
      <c r="G46" s="120" t="s">
        <v>606</v>
      </c>
      <c r="H46" s="120" t="s">
        <v>537</v>
      </c>
      <c r="I46" s="148">
        <v>1.05</v>
      </c>
      <c r="J46" s="148">
        <f t="shared" si="3"/>
        <v>210</v>
      </c>
    </row>
    <row r="47" spans="1:10">
      <c r="A47" s="120"/>
      <c r="B47" s="120" t="s">
        <v>358</v>
      </c>
      <c r="C47" s="120"/>
      <c r="D47" s="123"/>
      <c r="E47" s="120"/>
      <c r="F47" s="120"/>
      <c r="G47" s="120"/>
      <c r="H47" s="120"/>
      <c r="I47" s="119">
        <f>ROUND(SUM(I35:I46),5)</f>
        <v>200</v>
      </c>
      <c r="J47" s="119">
        <f>J46</f>
        <v>210</v>
      </c>
    </row>
    <row r="48" spans="1:10">
      <c r="A48" s="115"/>
      <c r="B48" s="115" t="s">
        <v>359</v>
      </c>
      <c r="C48" s="115"/>
      <c r="D48" s="121"/>
      <c r="E48" s="115"/>
      <c r="F48" s="115"/>
      <c r="G48" s="115"/>
      <c r="H48" s="115"/>
      <c r="I48" s="122"/>
      <c r="J48" s="122">
        <v>3426</v>
      </c>
    </row>
    <row r="49" spans="1:10">
      <c r="A49" s="120"/>
      <c r="B49" s="120"/>
      <c r="C49" s="120" t="s">
        <v>351</v>
      </c>
      <c r="D49" s="123">
        <v>44381</v>
      </c>
      <c r="E49" s="120"/>
      <c r="F49" s="120"/>
      <c r="G49" s="120" t="s">
        <v>351</v>
      </c>
      <c r="H49" s="120" t="s">
        <v>514</v>
      </c>
      <c r="I49" s="119">
        <v>30</v>
      </c>
      <c r="J49" s="119">
        <f t="shared" ref="J49:J59" si="4">ROUND(J48+I49,5)</f>
        <v>3456</v>
      </c>
    </row>
    <row r="50" spans="1:10">
      <c r="A50" s="120"/>
      <c r="B50" s="120"/>
      <c r="C50" s="120" t="s">
        <v>351</v>
      </c>
      <c r="D50" s="123">
        <v>44384</v>
      </c>
      <c r="E50" s="120"/>
      <c r="F50" s="120"/>
      <c r="G50" s="120" t="s">
        <v>607</v>
      </c>
      <c r="H50" s="120" t="s">
        <v>514</v>
      </c>
      <c r="I50" s="119">
        <v>9.8000000000000007</v>
      </c>
      <c r="J50" s="119">
        <f t="shared" si="4"/>
        <v>3465.8</v>
      </c>
    </row>
    <row r="51" spans="1:10">
      <c r="A51" s="120"/>
      <c r="B51" s="120"/>
      <c r="C51" s="120" t="s">
        <v>533</v>
      </c>
      <c r="D51" s="123">
        <v>44384</v>
      </c>
      <c r="E51" s="120" t="s">
        <v>608</v>
      </c>
      <c r="F51" s="120"/>
      <c r="G51" s="120" t="s">
        <v>609</v>
      </c>
      <c r="H51" s="120" t="s">
        <v>537</v>
      </c>
      <c r="I51" s="119">
        <v>0.2</v>
      </c>
      <c r="J51" s="119">
        <f t="shared" si="4"/>
        <v>3466</v>
      </c>
    </row>
    <row r="52" spans="1:10">
      <c r="A52" s="120"/>
      <c r="B52" s="120"/>
      <c r="C52" s="120" t="s">
        <v>352</v>
      </c>
      <c r="D52" s="123">
        <v>44461</v>
      </c>
      <c r="E52" s="120" t="s">
        <v>610</v>
      </c>
      <c r="F52" s="120" t="s">
        <v>548</v>
      </c>
      <c r="G52" s="120" t="s">
        <v>611</v>
      </c>
      <c r="H52" s="120" t="s">
        <v>514</v>
      </c>
      <c r="I52" s="119">
        <v>-3466</v>
      </c>
      <c r="J52" s="119">
        <f t="shared" si="4"/>
        <v>0</v>
      </c>
    </row>
    <row r="53" spans="1:10">
      <c r="A53" s="120"/>
      <c r="B53" s="120"/>
      <c r="C53" s="120" t="s">
        <v>351</v>
      </c>
      <c r="D53" s="123">
        <v>44724</v>
      </c>
      <c r="E53" s="120"/>
      <c r="F53" s="120"/>
      <c r="G53" s="120" t="s">
        <v>351</v>
      </c>
      <c r="H53" s="120" t="s">
        <v>514</v>
      </c>
      <c r="I53" s="119">
        <v>175</v>
      </c>
      <c r="J53" s="119">
        <f t="shared" si="4"/>
        <v>175</v>
      </c>
    </row>
    <row r="54" spans="1:10">
      <c r="A54" s="120"/>
      <c r="B54" s="120"/>
      <c r="C54" s="120" t="s">
        <v>351</v>
      </c>
      <c r="D54" s="123">
        <v>44731</v>
      </c>
      <c r="E54" s="120"/>
      <c r="F54" s="120"/>
      <c r="G54" s="120" t="s">
        <v>351</v>
      </c>
      <c r="H54" s="120" t="s">
        <v>514</v>
      </c>
      <c r="I54" s="119">
        <v>2532.6999999999998</v>
      </c>
      <c r="J54" s="119">
        <f t="shared" si="4"/>
        <v>2707.7</v>
      </c>
    </row>
    <row r="55" spans="1:10">
      <c r="A55" s="120"/>
      <c r="B55" s="120"/>
      <c r="C55" s="120" t="s">
        <v>533</v>
      </c>
      <c r="D55" s="123">
        <v>44731</v>
      </c>
      <c r="E55" s="120" t="s">
        <v>602</v>
      </c>
      <c r="F55" s="120"/>
      <c r="G55" s="120" t="s">
        <v>603</v>
      </c>
      <c r="H55" s="120" t="s">
        <v>77</v>
      </c>
      <c r="I55" s="119">
        <v>50</v>
      </c>
      <c r="J55" s="119">
        <f t="shared" si="4"/>
        <v>2757.7</v>
      </c>
    </row>
    <row r="56" spans="1:10">
      <c r="A56" s="120"/>
      <c r="B56" s="120"/>
      <c r="C56" s="120" t="s">
        <v>351</v>
      </c>
      <c r="D56" s="123">
        <v>44734</v>
      </c>
      <c r="E56" s="120"/>
      <c r="F56" s="120"/>
      <c r="G56" s="120" t="s">
        <v>604</v>
      </c>
      <c r="H56" s="120" t="s">
        <v>514</v>
      </c>
      <c r="I56" s="119">
        <v>19.579999999999998</v>
      </c>
      <c r="J56" s="119">
        <f t="shared" si="4"/>
        <v>2777.28</v>
      </c>
    </row>
    <row r="57" spans="1:10">
      <c r="A57" s="120"/>
      <c r="B57" s="120"/>
      <c r="C57" s="120" t="s">
        <v>533</v>
      </c>
      <c r="D57" s="123">
        <v>44734</v>
      </c>
      <c r="E57" s="120" t="s">
        <v>605</v>
      </c>
      <c r="F57" s="120"/>
      <c r="G57" s="120" t="s">
        <v>606</v>
      </c>
      <c r="H57" s="120" t="s">
        <v>537</v>
      </c>
      <c r="I57" s="119">
        <v>0.42</v>
      </c>
      <c r="J57" s="119">
        <f t="shared" si="4"/>
        <v>2777.7</v>
      </c>
    </row>
    <row r="58" spans="1:10">
      <c r="A58" s="120"/>
      <c r="B58" s="120"/>
      <c r="C58" s="120" t="s">
        <v>351</v>
      </c>
      <c r="D58" s="123">
        <v>44741</v>
      </c>
      <c r="E58" s="120"/>
      <c r="F58" s="120"/>
      <c r="G58" s="120" t="s">
        <v>567</v>
      </c>
      <c r="H58" s="120" t="s">
        <v>514</v>
      </c>
      <c r="I58" s="119">
        <v>132.33000000000001</v>
      </c>
      <c r="J58" s="119">
        <f t="shared" si="4"/>
        <v>2910.03</v>
      </c>
    </row>
    <row r="59" spans="1:10" ht="15.75" thickBot="1">
      <c r="A59" s="120"/>
      <c r="B59" s="120"/>
      <c r="C59" s="120" t="s">
        <v>533</v>
      </c>
      <c r="D59" s="123">
        <v>44741</v>
      </c>
      <c r="E59" s="120" t="s">
        <v>612</v>
      </c>
      <c r="F59" s="120"/>
      <c r="G59" s="120" t="s">
        <v>613</v>
      </c>
      <c r="H59" s="120" t="s">
        <v>537</v>
      </c>
      <c r="I59" s="148">
        <v>2.67</v>
      </c>
      <c r="J59" s="148">
        <f t="shared" si="4"/>
        <v>2912.7</v>
      </c>
    </row>
    <row r="60" spans="1:10">
      <c r="A60" s="120"/>
      <c r="B60" s="120" t="s">
        <v>360</v>
      </c>
      <c r="C60" s="120"/>
      <c r="D60" s="123"/>
      <c r="E60" s="120"/>
      <c r="F60" s="120"/>
      <c r="G60" s="120"/>
      <c r="H60" s="120"/>
      <c r="I60" s="119">
        <f>ROUND(SUM(I48:I59),5)</f>
        <v>-513.29999999999995</v>
      </c>
      <c r="J60" s="119">
        <f>J59</f>
        <v>2912.7</v>
      </c>
    </row>
    <row r="61" spans="1:10">
      <c r="A61" s="115"/>
      <c r="B61" s="115" t="s">
        <v>361</v>
      </c>
      <c r="C61" s="115"/>
      <c r="D61" s="121"/>
      <c r="E61" s="115"/>
      <c r="F61" s="115"/>
      <c r="G61" s="115"/>
      <c r="H61" s="115"/>
      <c r="I61" s="122"/>
      <c r="J61" s="122">
        <v>0</v>
      </c>
    </row>
    <row r="62" spans="1:10">
      <c r="A62" s="120"/>
      <c r="B62" s="120"/>
      <c r="C62" s="120" t="s">
        <v>351</v>
      </c>
      <c r="D62" s="123">
        <v>44657</v>
      </c>
      <c r="E62" s="120"/>
      <c r="F62" s="120"/>
      <c r="G62" s="120" t="s">
        <v>614</v>
      </c>
      <c r="H62" s="120" t="s">
        <v>514</v>
      </c>
      <c r="I62" s="119">
        <v>127.47</v>
      </c>
      <c r="J62" s="119">
        <f t="shared" ref="J62:J70" si="5">ROUND(J61+I62,5)</f>
        <v>127.47</v>
      </c>
    </row>
    <row r="63" spans="1:10">
      <c r="A63" s="120"/>
      <c r="B63" s="120"/>
      <c r="C63" s="120" t="s">
        <v>533</v>
      </c>
      <c r="D63" s="123">
        <v>44657</v>
      </c>
      <c r="E63" s="120" t="s">
        <v>584</v>
      </c>
      <c r="F63" s="120"/>
      <c r="G63" s="120" t="s">
        <v>615</v>
      </c>
      <c r="H63" s="120" t="s">
        <v>537</v>
      </c>
      <c r="I63" s="119">
        <v>2.5299999999999998</v>
      </c>
      <c r="J63" s="119">
        <f t="shared" si="5"/>
        <v>130</v>
      </c>
    </row>
    <row r="64" spans="1:10">
      <c r="A64" s="120"/>
      <c r="B64" s="120"/>
      <c r="C64" s="120" t="s">
        <v>351</v>
      </c>
      <c r="D64" s="123">
        <v>44669</v>
      </c>
      <c r="E64" s="120"/>
      <c r="F64" s="120"/>
      <c r="G64" s="120" t="s">
        <v>351</v>
      </c>
      <c r="H64" s="120" t="s">
        <v>514</v>
      </c>
      <c r="I64" s="119">
        <v>2186</v>
      </c>
      <c r="J64" s="119">
        <f t="shared" si="5"/>
        <v>2316</v>
      </c>
    </row>
    <row r="65" spans="1:10">
      <c r="A65" s="120"/>
      <c r="B65" s="120"/>
      <c r="C65" s="120" t="s">
        <v>351</v>
      </c>
      <c r="D65" s="123">
        <v>44671</v>
      </c>
      <c r="E65" s="120"/>
      <c r="F65" s="120"/>
      <c r="G65" s="120" t="s">
        <v>616</v>
      </c>
      <c r="H65" s="120" t="s">
        <v>514</v>
      </c>
      <c r="I65" s="119">
        <v>9.7899999999999991</v>
      </c>
      <c r="J65" s="119">
        <f t="shared" si="5"/>
        <v>2325.79</v>
      </c>
    </row>
    <row r="66" spans="1:10">
      <c r="A66" s="120"/>
      <c r="B66" s="120"/>
      <c r="C66" s="120" t="s">
        <v>533</v>
      </c>
      <c r="D66" s="123">
        <v>44671</v>
      </c>
      <c r="E66" s="120" t="s">
        <v>617</v>
      </c>
      <c r="F66" s="120"/>
      <c r="G66" s="120" t="s">
        <v>618</v>
      </c>
      <c r="H66" s="120" t="s">
        <v>81</v>
      </c>
      <c r="I66" s="119">
        <v>0.21</v>
      </c>
      <c r="J66" s="119">
        <f t="shared" si="5"/>
        <v>2326</v>
      </c>
    </row>
    <row r="67" spans="1:10">
      <c r="A67" s="120"/>
      <c r="B67" s="120"/>
      <c r="C67" s="120" t="s">
        <v>351</v>
      </c>
      <c r="D67" s="123">
        <v>44675</v>
      </c>
      <c r="E67" s="120"/>
      <c r="F67" s="120"/>
      <c r="G67" s="120" t="s">
        <v>351</v>
      </c>
      <c r="H67" s="120" t="s">
        <v>514</v>
      </c>
      <c r="I67" s="119">
        <v>30</v>
      </c>
      <c r="J67" s="119">
        <f t="shared" si="5"/>
        <v>2356</v>
      </c>
    </row>
    <row r="68" spans="1:10">
      <c r="A68" s="120"/>
      <c r="B68" s="120"/>
      <c r="C68" s="120" t="s">
        <v>351</v>
      </c>
      <c r="D68" s="123">
        <v>44678</v>
      </c>
      <c r="E68" s="120"/>
      <c r="F68" s="120"/>
      <c r="G68" s="120" t="s">
        <v>619</v>
      </c>
      <c r="H68" s="120" t="s">
        <v>514</v>
      </c>
      <c r="I68" s="119">
        <v>58.86</v>
      </c>
      <c r="J68" s="119">
        <f t="shared" si="5"/>
        <v>2414.86</v>
      </c>
    </row>
    <row r="69" spans="1:10">
      <c r="A69" s="120"/>
      <c r="B69" s="120"/>
      <c r="C69" s="120" t="s">
        <v>533</v>
      </c>
      <c r="D69" s="123">
        <v>44678</v>
      </c>
      <c r="E69" s="120" t="s">
        <v>620</v>
      </c>
      <c r="F69" s="120"/>
      <c r="G69" s="120" t="s">
        <v>621</v>
      </c>
      <c r="H69" s="120" t="s">
        <v>81</v>
      </c>
      <c r="I69" s="119">
        <v>1.1399999999999999</v>
      </c>
      <c r="J69" s="119">
        <f t="shared" si="5"/>
        <v>2416</v>
      </c>
    </row>
    <row r="70" spans="1:10" ht="15.75" thickBot="1">
      <c r="A70" s="120"/>
      <c r="B70" s="120"/>
      <c r="C70" s="120" t="s">
        <v>352</v>
      </c>
      <c r="D70" s="123">
        <v>44735</v>
      </c>
      <c r="E70" s="120" t="s">
        <v>622</v>
      </c>
      <c r="F70" s="120" t="s">
        <v>548</v>
      </c>
      <c r="G70" s="120" t="s">
        <v>623</v>
      </c>
      <c r="H70" s="120" t="s">
        <v>514</v>
      </c>
      <c r="I70" s="148">
        <v>-2416</v>
      </c>
      <c r="J70" s="148">
        <f t="shared" si="5"/>
        <v>0</v>
      </c>
    </row>
    <row r="71" spans="1:10">
      <c r="A71" s="120"/>
      <c r="B71" s="120" t="s">
        <v>362</v>
      </c>
      <c r="C71" s="120"/>
      <c r="D71" s="123"/>
      <c r="E71" s="120"/>
      <c r="F71" s="120"/>
      <c r="G71" s="120"/>
      <c r="H71" s="120"/>
      <c r="I71" s="119">
        <f>ROUND(SUM(I61:I70),5)</f>
        <v>0</v>
      </c>
      <c r="J71" s="119">
        <f>J70</f>
        <v>0</v>
      </c>
    </row>
    <row r="72" spans="1:10">
      <c r="A72" s="115"/>
      <c r="B72" s="115" t="s">
        <v>564</v>
      </c>
      <c r="C72" s="115"/>
      <c r="D72" s="121"/>
      <c r="E72" s="115"/>
      <c r="F72" s="115"/>
      <c r="G72" s="115"/>
      <c r="H72" s="115"/>
      <c r="I72" s="122"/>
      <c r="J72" s="122">
        <v>0</v>
      </c>
    </row>
    <row r="73" spans="1:10" ht="15.75" thickBot="1">
      <c r="A73" s="149"/>
      <c r="B73" s="149"/>
      <c r="C73" s="120" t="s">
        <v>351</v>
      </c>
      <c r="D73" s="123">
        <v>44738</v>
      </c>
      <c r="E73" s="120"/>
      <c r="F73" s="120"/>
      <c r="G73" s="120" t="s">
        <v>351</v>
      </c>
      <c r="H73" s="120" t="s">
        <v>514</v>
      </c>
      <c r="I73" s="148">
        <v>4460</v>
      </c>
      <c r="J73" s="148">
        <f>ROUND(J72+I73,5)</f>
        <v>4460</v>
      </c>
    </row>
    <row r="74" spans="1:10">
      <c r="A74" s="120"/>
      <c r="B74" s="120" t="s">
        <v>624</v>
      </c>
      <c r="C74" s="120"/>
      <c r="D74" s="123"/>
      <c r="E74" s="120"/>
      <c r="F74" s="120"/>
      <c r="G74" s="120"/>
      <c r="H74" s="120"/>
      <c r="I74" s="119">
        <f>ROUND(SUM(I72:I73),5)</f>
        <v>4460</v>
      </c>
      <c r="J74" s="119">
        <f>J73</f>
        <v>4460</v>
      </c>
    </row>
    <row r="75" spans="1:10">
      <c r="A75" s="115"/>
      <c r="B75" s="115" t="s">
        <v>363</v>
      </c>
      <c r="C75" s="115"/>
      <c r="D75" s="121"/>
      <c r="E75" s="115"/>
      <c r="F75" s="115"/>
      <c r="G75" s="115"/>
      <c r="H75" s="115"/>
      <c r="I75" s="122"/>
      <c r="J75" s="122">
        <v>0</v>
      </c>
    </row>
    <row r="76" spans="1:10">
      <c r="A76" s="120"/>
      <c r="B76" s="120"/>
      <c r="C76" s="120" t="s">
        <v>351</v>
      </c>
      <c r="D76" s="123">
        <v>44433</v>
      </c>
      <c r="E76" s="120"/>
      <c r="F76" s="120"/>
      <c r="G76" s="120" t="s">
        <v>567</v>
      </c>
      <c r="H76" s="120" t="s">
        <v>514</v>
      </c>
      <c r="I76" s="119">
        <v>9.81</v>
      </c>
      <c r="J76" s="119">
        <f t="shared" ref="J76:J81" si="6">ROUND(J75+I76,5)</f>
        <v>9.81</v>
      </c>
    </row>
    <row r="77" spans="1:10">
      <c r="A77" s="120"/>
      <c r="B77" s="120"/>
      <c r="C77" s="120" t="s">
        <v>533</v>
      </c>
      <c r="D77" s="123">
        <v>44433</v>
      </c>
      <c r="E77" s="120" t="s">
        <v>625</v>
      </c>
      <c r="F77" s="120"/>
      <c r="G77" s="120" t="s">
        <v>626</v>
      </c>
      <c r="H77" s="120" t="s">
        <v>537</v>
      </c>
      <c r="I77" s="119">
        <v>0.19</v>
      </c>
      <c r="J77" s="119">
        <f t="shared" si="6"/>
        <v>10</v>
      </c>
    </row>
    <row r="78" spans="1:10">
      <c r="A78" s="120"/>
      <c r="B78" s="120"/>
      <c r="C78" s="120" t="s">
        <v>351</v>
      </c>
      <c r="D78" s="123">
        <v>44493</v>
      </c>
      <c r="E78" s="120"/>
      <c r="F78" s="120"/>
      <c r="G78" s="120" t="s">
        <v>351</v>
      </c>
      <c r="H78" s="120" t="s">
        <v>514</v>
      </c>
      <c r="I78" s="119">
        <v>2714</v>
      </c>
      <c r="J78" s="119">
        <f t="shared" si="6"/>
        <v>2724</v>
      </c>
    </row>
    <row r="79" spans="1:10">
      <c r="A79" s="120"/>
      <c r="B79" s="120"/>
      <c r="C79" s="120" t="s">
        <v>351</v>
      </c>
      <c r="D79" s="123">
        <v>44500</v>
      </c>
      <c r="E79" s="120"/>
      <c r="F79" s="120"/>
      <c r="G79" s="120" t="s">
        <v>351</v>
      </c>
      <c r="H79" s="120" t="s">
        <v>514</v>
      </c>
      <c r="I79" s="119">
        <v>33</v>
      </c>
      <c r="J79" s="119">
        <f t="shared" si="6"/>
        <v>2757</v>
      </c>
    </row>
    <row r="80" spans="1:10">
      <c r="A80" s="120"/>
      <c r="B80" s="120"/>
      <c r="C80" s="120" t="s">
        <v>352</v>
      </c>
      <c r="D80" s="123">
        <v>44580</v>
      </c>
      <c r="E80" s="120" t="s">
        <v>627</v>
      </c>
      <c r="F80" s="120" t="s">
        <v>548</v>
      </c>
      <c r="G80" s="120" t="s">
        <v>628</v>
      </c>
      <c r="H80" s="120" t="s">
        <v>514</v>
      </c>
      <c r="I80" s="119">
        <v>-2757</v>
      </c>
      <c r="J80" s="119">
        <f t="shared" si="6"/>
        <v>0</v>
      </c>
    </row>
    <row r="81" spans="1:10" ht="15.75" thickBot="1">
      <c r="A81" s="120"/>
      <c r="B81" s="120"/>
      <c r="C81" s="120" t="s">
        <v>533</v>
      </c>
      <c r="D81" s="123">
        <v>44731</v>
      </c>
      <c r="E81" s="120" t="s">
        <v>602</v>
      </c>
      <c r="F81" s="120"/>
      <c r="G81" s="120" t="s">
        <v>603</v>
      </c>
      <c r="H81" s="120" t="s">
        <v>77</v>
      </c>
      <c r="I81" s="148">
        <v>100</v>
      </c>
      <c r="J81" s="148">
        <f t="shared" si="6"/>
        <v>100</v>
      </c>
    </row>
    <row r="82" spans="1:10">
      <c r="A82" s="120"/>
      <c r="B82" s="120" t="s">
        <v>364</v>
      </c>
      <c r="C82" s="120"/>
      <c r="D82" s="123"/>
      <c r="E82" s="120"/>
      <c r="F82" s="120"/>
      <c r="G82" s="120"/>
      <c r="H82" s="120"/>
      <c r="I82" s="119">
        <f>ROUND(SUM(I75:I81),5)</f>
        <v>100</v>
      </c>
      <c r="J82" s="119">
        <f>J81</f>
        <v>100</v>
      </c>
    </row>
    <row r="83" spans="1:10">
      <c r="A83" s="115"/>
      <c r="B83" s="115" t="s">
        <v>365</v>
      </c>
      <c r="C83" s="115"/>
      <c r="D83" s="121"/>
      <c r="E83" s="115"/>
      <c r="F83" s="115"/>
      <c r="G83" s="115"/>
      <c r="H83" s="115"/>
      <c r="I83" s="122"/>
      <c r="J83" s="122">
        <v>-100</v>
      </c>
    </row>
    <row r="84" spans="1:10">
      <c r="A84" s="120"/>
      <c r="B84" s="120"/>
      <c r="C84" s="120" t="s">
        <v>351</v>
      </c>
      <c r="D84" s="123">
        <v>44381</v>
      </c>
      <c r="E84" s="120"/>
      <c r="F84" s="120"/>
      <c r="G84" s="120" t="s">
        <v>351</v>
      </c>
      <c r="H84" s="120" t="s">
        <v>514</v>
      </c>
      <c r="I84" s="119">
        <v>2720.35</v>
      </c>
      <c r="J84" s="119">
        <f t="shared" ref="J84:J92" si="7">ROUND(J83+I84,5)</f>
        <v>2620.35</v>
      </c>
    </row>
    <row r="85" spans="1:10">
      <c r="A85" s="120"/>
      <c r="B85" s="120"/>
      <c r="C85" s="120" t="s">
        <v>351</v>
      </c>
      <c r="D85" s="123">
        <v>44396</v>
      </c>
      <c r="E85" s="120"/>
      <c r="F85" s="120"/>
      <c r="G85" s="120" t="s">
        <v>351</v>
      </c>
      <c r="H85" s="120" t="s">
        <v>514</v>
      </c>
      <c r="I85" s="119">
        <v>305</v>
      </c>
      <c r="J85" s="119">
        <f t="shared" si="7"/>
        <v>2925.35</v>
      </c>
    </row>
    <row r="86" spans="1:10">
      <c r="A86" s="120"/>
      <c r="B86" s="120"/>
      <c r="C86" s="120" t="s">
        <v>351</v>
      </c>
      <c r="D86" s="123">
        <v>44398</v>
      </c>
      <c r="E86" s="120"/>
      <c r="F86" s="120"/>
      <c r="G86" s="120" t="s">
        <v>629</v>
      </c>
      <c r="H86" s="120" t="s">
        <v>514</v>
      </c>
      <c r="I86" s="119">
        <v>48.98</v>
      </c>
      <c r="J86" s="119">
        <f t="shared" si="7"/>
        <v>2974.33</v>
      </c>
    </row>
    <row r="87" spans="1:10">
      <c r="A87" s="120"/>
      <c r="B87" s="120"/>
      <c r="C87" s="120" t="s">
        <v>351</v>
      </c>
      <c r="D87" s="123">
        <v>44412</v>
      </c>
      <c r="E87" s="120"/>
      <c r="F87" s="120"/>
      <c r="G87" s="120" t="s">
        <v>630</v>
      </c>
      <c r="H87" s="120" t="s">
        <v>514</v>
      </c>
      <c r="I87" s="119">
        <v>9.82</v>
      </c>
      <c r="J87" s="119">
        <f t="shared" si="7"/>
        <v>2984.15</v>
      </c>
    </row>
    <row r="88" spans="1:10">
      <c r="A88" s="120"/>
      <c r="B88" s="120"/>
      <c r="C88" s="120" t="s">
        <v>533</v>
      </c>
      <c r="D88" s="123">
        <v>44412</v>
      </c>
      <c r="E88" s="120" t="s">
        <v>631</v>
      </c>
      <c r="F88" s="120"/>
      <c r="G88" s="120" t="s">
        <v>632</v>
      </c>
      <c r="H88" s="120" t="s">
        <v>537</v>
      </c>
      <c r="I88" s="119">
        <v>0.18</v>
      </c>
      <c r="J88" s="119">
        <f t="shared" si="7"/>
        <v>2984.33</v>
      </c>
    </row>
    <row r="89" spans="1:10">
      <c r="A89" s="120"/>
      <c r="B89" s="120"/>
      <c r="C89" s="120" t="s">
        <v>352</v>
      </c>
      <c r="D89" s="123">
        <v>44461</v>
      </c>
      <c r="E89" s="120" t="s">
        <v>633</v>
      </c>
      <c r="F89" s="120" t="s">
        <v>548</v>
      </c>
      <c r="G89" s="120" t="s">
        <v>634</v>
      </c>
      <c r="H89" s="120" t="s">
        <v>514</v>
      </c>
      <c r="I89" s="119">
        <v>-2984.33</v>
      </c>
      <c r="J89" s="119">
        <f t="shared" si="7"/>
        <v>0</v>
      </c>
    </row>
    <row r="90" spans="1:10">
      <c r="A90" s="120"/>
      <c r="B90" s="120"/>
      <c r="C90" s="120" t="s">
        <v>351</v>
      </c>
      <c r="D90" s="123">
        <v>44664</v>
      </c>
      <c r="E90" s="120"/>
      <c r="F90" s="120"/>
      <c r="G90" s="120" t="s">
        <v>635</v>
      </c>
      <c r="H90" s="120" t="s">
        <v>514</v>
      </c>
      <c r="I90" s="119">
        <v>19.39</v>
      </c>
      <c r="J90" s="119">
        <f t="shared" si="7"/>
        <v>19.39</v>
      </c>
    </row>
    <row r="91" spans="1:10">
      <c r="A91" s="120"/>
      <c r="B91" s="120"/>
      <c r="C91" s="120" t="s">
        <v>533</v>
      </c>
      <c r="D91" s="123">
        <v>44664</v>
      </c>
      <c r="E91" s="120" t="s">
        <v>636</v>
      </c>
      <c r="F91" s="120"/>
      <c r="G91" s="120" t="s">
        <v>637</v>
      </c>
      <c r="H91" s="120" t="s">
        <v>537</v>
      </c>
      <c r="I91" s="119">
        <v>0.61</v>
      </c>
      <c r="J91" s="119">
        <f t="shared" si="7"/>
        <v>20</v>
      </c>
    </row>
    <row r="92" spans="1:10" ht="15.75" thickBot="1">
      <c r="A92" s="120"/>
      <c r="B92" s="120"/>
      <c r="C92" s="120" t="s">
        <v>533</v>
      </c>
      <c r="D92" s="123">
        <v>44731</v>
      </c>
      <c r="E92" s="120" t="s">
        <v>602</v>
      </c>
      <c r="F92" s="120"/>
      <c r="G92" s="120" t="s">
        <v>603</v>
      </c>
      <c r="H92" s="120" t="s">
        <v>77</v>
      </c>
      <c r="I92" s="148">
        <v>50</v>
      </c>
      <c r="J92" s="148">
        <f t="shared" si="7"/>
        <v>70</v>
      </c>
    </row>
    <row r="93" spans="1:10">
      <c r="A93" s="120"/>
      <c r="B93" s="120" t="s">
        <v>366</v>
      </c>
      <c r="C93" s="120"/>
      <c r="D93" s="123"/>
      <c r="E93" s="120"/>
      <c r="F93" s="120"/>
      <c r="G93" s="120"/>
      <c r="H93" s="120"/>
      <c r="I93" s="119">
        <f>ROUND(SUM(I83:I92),5)</f>
        <v>170</v>
      </c>
      <c r="J93" s="119">
        <f>J92</f>
        <v>70</v>
      </c>
    </row>
    <row r="94" spans="1:10">
      <c r="A94" s="115"/>
      <c r="B94" s="115" t="s">
        <v>565</v>
      </c>
      <c r="C94" s="115"/>
      <c r="D94" s="121"/>
      <c r="E94" s="115"/>
      <c r="F94" s="115"/>
      <c r="G94" s="115"/>
      <c r="H94" s="115"/>
      <c r="I94" s="122"/>
      <c r="J94" s="122">
        <v>0</v>
      </c>
    </row>
    <row r="95" spans="1:10">
      <c r="A95" s="115"/>
      <c r="B95" s="154" t="s">
        <v>638</v>
      </c>
      <c r="C95" s="115"/>
      <c r="D95" s="121"/>
      <c r="E95" s="115"/>
      <c r="F95" s="115"/>
      <c r="G95" s="115"/>
      <c r="H95" s="115"/>
      <c r="I95" s="122"/>
      <c r="J95" s="122">
        <v>0</v>
      </c>
    </row>
    <row r="96" spans="1:10">
      <c r="A96" s="120"/>
      <c r="B96" s="120"/>
      <c r="C96" s="120" t="s">
        <v>351</v>
      </c>
      <c r="D96" s="123">
        <v>44634</v>
      </c>
      <c r="E96" s="120"/>
      <c r="F96" s="120"/>
      <c r="G96" s="120" t="s">
        <v>639</v>
      </c>
      <c r="H96" s="120" t="s">
        <v>514</v>
      </c>
      <c r="I96" s="119">
        <v>10</v>
      </c>
      <c r="J96" s="119">
        <f t="shared" ref="J96:J106" si="8">ROUND(J95+I96,5)</f>
        <v>10</v>
      </c>
    </row>
    <row r="97" spans="1:10">
      <c r="A97" s="120"/>
      <c r="B97" s="120"/>
      <c r="C97" s="120" t="s">
        <v>351</v>
      </c>
      <c r="D97" s="123">
        <v>44640</v>
      </c>
      <c r="E97" s="120"/>
      <c r="F97" s="120"/>
      <c r="G97" s="120" t="s">
        <v>640</v>
      </c>
      <c r="H97" s="120" t="s">
        <v>514</v>
      </c>
      <c r="I97" s="119">
        <v>344</v>
      </c>
      <c r="J97" s="119">
        <f t="shared" si="8"/>
        <v>354</v>
      </c>
    </row>
    <row r="98" spans="1:10">
      <c r="A98" s="120"/>
      <c r="B98" s="120"/>
      <c r="C98" s="120" t="s">
        <v>351</v>
      </c>
      <c r="D98" s="123">
        <v>44647</v>
      </c>
      <c r="E98" s="120"/>
      <c r="F98" s="120"/>
      <c r="G98" s="120" t="s">
        <v>640</v>
      </c>
      <c r="H98" s="120" t="s">
        <v>514</v>
      </c>
      <c r="I98" s="119">
        <v>10691</v>
      </c>
      <c r="J98" s="119">
        <f t="shared" si="8"/>
        <v>11045</v>
      </c>
    </row>
    <row r="99" spans="1:10">
      <c r="A99" s="120"/>
      <c r="B99" s="120"/>
      <c r="C99" s="120" t="s">
        <v>351</v>
      </c>
      <c r="D99" s="123">
        <v>44654</v>
      </c>
      <c r="E99" s="120"/>
      <c r="F99" s="120"/>
      <c r="G99" s="120" t="s">
        <v>640</v>
      </c>
      <c r="H99" s="120" t="s">
        <v>514</v>
      </c>
      <c r="I99" s="119">
        <v>765</v>
      </c>
      <c r="J99" s="119">
        <f t="shared" si="8"/>
        <v>11810</v>
      </c>
    </row>
    <row r="100" spans="1:10">
      <c r="A100" s="120"/>
      <c r="B100" s="120"/>
      <c r="C100" s="120" t="s">
        <v>533</v>
      </c>
      <c r="D100" s="123">
        <v>44654</v>
      </c>
      <c r="E100" s="120" t="s">
        <v>641</v>
      </c>
      <c r="F100" s="120"/>
      <c r="G100" s="120" t="s">
        <v>642</v>
      </c>
      <c r="H100" s="120" t="s">
        <v>77</v>
      </c>
      <c r="I100" s="119">
        <v>95</v>
      </c>
      <c r="J100" s="119">
        <f t="shared" si="8"/>
        <v>11905</v>
      </c>
    </row>
    <row r="101" spans="1:10">
      <c r="A101" s="120"/>
      <c r="B101" s="120"/>
      <c r="C101" s="120" t="s">
        <v>352</v>
      </c>
      <c r="D101" s="123">
        <v>44655</v>
      </c>
      <c r="E101" s="120" t="s">
        <v>643</v>
      </c>
      <c r="F101" s="120" t="s">
        <v>548</v>
      </c>
      <c r="G101" s="120" t="s">
        <v>644</v>
      </c>
      <c r="H101" s="120" t="s">
        <v>514</v>
      </c>
      <c r="I101" s="119">
        <v>-11810</v>
      </c>
      <c r="J101" s="119">
        <f t="shared" si="8"/>
        <v>95</v>
      </c>
    </row>
    <row r="102" spans="1:10">
      <c r="A102" s="120"/>
      <c r="B102" s="120"/>
      <c r="C102" s="120" t="s">
        <v>351</v>
      </c>
      <c r="D102" s="123">
        <v>44657</v>
      </c>
      <c r="E102" s="120"/>
      <c r="F102" s="120"/>
      <c r="G102" s="120" t="s">
        <v>645</v>
      </c>
      <c r="H102" s="120" t="s">
        <v>514</v>
      </c>
      <c r="I102" s="119">
        <v>98.06</v>
      </c>
      <c r="J102" s="119">
        <f t="shared" si="8"/>
        <v>193.06</v>
      </c>
    </row>
    <row r="103" spans="1:10">
      <c r="A103" s="120"/>
      <c r="B103" s="120"/>
      <c r="C103" s="120" t="s">
        <v>533</v>
      </c>
      <c r="D103" s="123">
        <v>44657</v>
      </c>
      <c r="E103" s="120" t="s">
        <v>584</v>
      </c>
      <c r="F103" s="120"/>
      <c r="G103" s="120" t="s">
        <v>646</v>
      </c>
      <c r="H103" s="120" t="s">
        <v>537</v>
      </c>
      <c r="I103" s="119">
        <v>1.95</v>
      </c>
      <c r="J103" s="119">
        <f t="shared" si="8"/>
        <v>195.01</v>
      </c>
    </row>
    <row r="104" spans="1:10">
      <c r="A104" s="120"/>
      <c r="B104" s="120"/>
      <c r="C104" s="120" t="s">
        <v>351</v>
      </c>
      <c r="D104" s="123">
        <v>44670</v>
      </c>
      <c r="E104" s="120"/>
      <c r="F104" s="120"/>
      <c r="G104" s="120" t="s">
        <v>640</v>
      </c>
      <c r="H104" s="120" t="s">
        <v>514</v>
      </c>
      <c r="I104" s="119">
        <v>2000</v>
      </c>
      <c r="J104" s="119">
        <f t="shared" si="8"/>
        <v>2195.0100000000002</v>
      </c>
    </row>
    <row r="105" spans="1:10">
      <c r="A105" s="120"/>
      <c r="B105" s="120"/>
      <c r="C105" s="120" t="s">
        <v>351</v>
      </c>
      <c r="D105" s="123">
        <v>44675</v>
      </c>
      <c r="E105" s="120"/>
      <c r="F105" s="120"/>
      <c r="G105" s="120" t="s">
        <v>351</v>
      </c>
      <c r="H105" s="120" t="s">
        <v>514</v>
      </c>
      <c r="I105" s="119">
        <v>125</v>
      </c>
      <c r="J105" s="119">
        <f t="shared" si="8"/>
        <v>2320.0100000000002</v>
      </c>
    </row>
    <row r="106" spans="1:10" ht="15.75" thickBot="1">
      <c r="A106" s="120"/>
      <c r="B106" s="120"/>
      <c r="C106" s="120" t="s">
        <v>352</v>
      </c>
      <c r="D106" s="123">
        <v>44685</v>
      </c>
      <c r="E106" s="120" t="s">
        <v>647</v>
      </c>
      <c r="F106" s="120" t="s">
        <v>648</v>
      </c>
      <c r="G106" s="120" t="s">
        <v>649</v>
      </c>
      <c r="H106" s="120" t="s">
        <v>514</v>
      </c>
      <c r="I106" s="148">
        <v>-2320.0100000000002</v>
      </c>
      <c r="J106" s="148">
        <f t="shared" si="8"/>
        <v>0</v>
      </c>
    </row>
    <row r="107" spans="1:10">
      <c r="A107" s="120"/>
      <c r="B107" s="155" t="s">
        <v>650</v>
      </c>
      <c r="C107" s="120"/>
      <c r="D107" s="123"/>
      <c r="E107" s="120"/>
      <c r="F107" s="120"/>
      <c r="G107" s="120"/>
      <c r="H107" s="120"/>
      <c r="I107" s="119">
        <f>ROUND(SUM(I95:I106),5)</f>
        <v>0</v>
      </c>
      <c r="J107" s="119">
        <f>J106</f>
        <v>0</v>
      </c>
    </row>
    <row r="108" spans="1:10">
      <c r="A108" s="115"/>
      <c r="B108" s="153" t="s">
        <v>651</v>
      </c>
      <c r="C108" s="115"/>
      <c r="D108" s="121"/>
      <c r="E108" s="115"/>
      <c r="F108" s="115"/>
      <c r="G108" s="115"/>
      <c r="H108" s="115"/>
      <c r="I108" s="122"/>
      <c r="J108" s="122">
        <v>0</v>
      </c>
    </row>
    <row r="109" spans="1:10" ht="15.75" thickBot="1">
      <c r="A109" s="149"/>
      <c r="B109" s="149"/>
      <c r="C109" s="120" t="s">
        <v>351</v>
      </c>
      <c r="D109" s="123">
        <v>44649</v>
      </c>
      <c r="E109" s="120"/>
      <c r="F109" s="120"/>
      <c r="G109" s="120" t="s">
        <v>640</v>
      </c>
      <c r="H109" s="120" t="s">
        <v>514</v>
      </c>
      <c r="I109" s="119">
        <v>13</v>
      </c>
      <c r="J109" s="119">
        <f>ROUND(J108+I109,5)</f>
        <v>13</v>
      </c>
    </row>
    <row r="110" spans="1:10" ht="15.75" thickBot="1">
      <c r="A110" s="120"/>
      <c r="B110" s="155" t="s">
        <v>652</v>
      </c>
      <c r="C110" s="120"/>
      <c r="D110" s="123"/>
      <c r="E110" s="120"/>
      <c r="F110" s="120"/>
      <c r="G110" s="120"/>
      <c r="H110" s="120"/>
      <c r="I110" s="150">
        <f>ROUND(SUM(I108:I109),5)</f>
        <v>13</v>
      </c>
      <c r="J110" s="150">
        <f>J109</f>
        <v>13</v>
      </c>
    </row>
    <row r="111" spans="1:10">
      <c r="A111" s="120"/>
      <c r="B111" s="120" t="s">
        <v>653</v>
      </c>
      <c r="C111" s="120"/>
      <c r="D111" s="123"/>
      <c r="E111" s="120"/>
      <c r="F111" s="120"/>
      <c r="G111" s="120"/>
      <c r="H111" s="120"/>
      <c r="I111" s="119">
        <f>ROUND(I107+I110,5)</f>
        <v>13</v>
      </c>
      <c r="J111" s="119">
        <f>ROUND(J107+J110,5)</f>
        <v>13</v>
      </c>
    </row>
    <row r="112" spans="1:10">
      <c r="A112" s="115"/>
      <c r="B112" s="115" t="s">
        <v>527</v>
      </c>
      <c r="C112" s="115"/>
      <c r="D112" s="121"/>
      <c r="E112" s="115"/>
      <c r="F112" s="115"/>
      <c r="G112" s="115"/>
      <c r="H112" s="115"/>
      <c r="I112" s="122"/>
      <c r="J112" s="122">
        <v>0</v>
      </c>
    </row>
    <row r="113" spans="1:10">
      <c r="A113" s="120"/>
      <c r="B113" s="120"/>
      <c r="C113" s="120" t="s">
        <v>351</v>
      </c>
      <c r="D113" s="123">
        <v>44426</v>
      </c>
      <c r="E113" s="120"/>
      <c r="F113" s="120"/>
      <c r="G113" s="120" t="s">
        <v>567</v>
      </c>
      <c r="H113" s="120" t="s">
        <v>514</v>
      </c>
      <c r="I113" s="119">
        <v>9.91</v>
      </c>
      <c r="J113" s="119">
        <f t="shared" ref="J113:J118" si="9">ROUND(J112+I113,5)</f>
        <v>9.91</v>
      </c>
    </row>
    <row r="114" spans="1:10">
      <c r="A114" s="120"/>
      <c r="B114" s="120"/>
      <c r="C114" s="120" t="s">
        <v>533</v>
      </c>
      <c r="D114" s="123">
        <v>44426</v>
      </c>
      <c r="E114" s="120" t="s">
        <v>654</v>
      </c>
      <c r="F114" s="120"/>
      <c r="G114" s="120" t="s">
        <v>655</v>
      </c>
      <c r="H114" s="120" t="s">
        <v>537</v>
      </c>
      <c r="I114" s="119">
        <v>0.09</v>
      </c>
      <c r="J114" s="119">
        <f t="shared" si="9"/>
        <v>10</v>
      </c>
    </row>
    <row r="115" spans="1:10">
      <c r="A115" s="120"/>
      <c r="B115" s="120"/>
      <c r="C115" s="120" t="s">
        <v>351</v>
      </c>
      <c r="D115" s="123">
        <v>44633</v>
      </c>
      <c r="E115" s="120"/>
      <c r="F115" s="120"/>
      <c r="G115" s="120" t="s">
        <v>351</v>
      </c>
      <c r="H115" s="120" t="s">
        <v>514</v>
      </c>
      <c r="I115" s="119">
        <v>3257</v>
      </c>
      <c r="J115" s="119">
        <f t="shared" si="9"/>
        <v>3267</v>
      </c>
    </row>
    <row r="116" spans="1:10">
      <c r="A116" s="120"/>
      <c r="B116" s="120"/>
      <c r="C116" s="120" t="s">
        <v>351</v>
      </c>
      <c r="D116" s="123">
        <v>44640</v>
      </c>
      <c r="E116" s="120"/>
      <c r="F116" s="120"/>
      <c r="G116" s="120" t="s">
        <v>351</v>
      </c>
      <c r="H116" s="120" t="s">
        <v>514</v>
      </c>
      <c r="I116" s="119">
        <v>407</v>
      </c>
      <c r="J116" s="119">
        <f t="shared" si="9"/>
        <v>3674</v>
      </c>
    </row>
    <row r="117" spans="1:10">
      <c r="A117" s="120"/>
      <c r="B117" s="120"/>
      <c r="C117" s="120" t="s">
        <v>351</v>
      </c>
      <c r="D117" s="123">
        <v>44647</v>
      </c>
      <c r="E117" s="120"/>
      <c r="F117" s="120"/>
      <c r="G117" s="120" t="s">
        <v>351</v>
      </c>
      <c r="H117" s="120" t="s">
        <v>514</v>
      </c>
      <c r="I117" s="119">
        <v>75</v>
      </c>
      <c r="J117" s="119">
        <f t="shared" si="9"/>
        <v>3749</v>
      </c>
    </row>
    <row r="118" spans="1:10" ht="15.75" thickBot="1">
      <c r="A118" s="120"/>
      <c r="B118" s="120"/>
      <c r="C118" s="120" t="s">
        <v>352</v>
      </c>
      <c r="D118" s="123">
        <v>44655</v>
      </c>
      <c r="E118" s="120" t="s">
        <v>656</v>
      </c>
      <c r="F118" s="120" t="s">
        <v>548</v>
      </c>
      <c r="G118" s="120" t="s">
        <v>657</v>
      </c>
      <c r="H118" s="120" t="s">
        <v>514</v>
      </c>
      <c r="I118" s="148">
        <v>-3749</v>
      </c>
      <c r="J118" s="148">
        <f t="shared" si="9"/>
        <v>0</v>
      </c>
    </row>
    <row r="119" spans="1:10">
      <c r="A119" s="120"/>
      <c r="B119" s="120" t="s">
        <v>534</v>
      </c>
      <c r="C119" s="120"/>
      <c r="D119" s="123"/>
      <c r="E119" s="120"/>
      <c r="F119" s="120"/>
      <c r="G119" s="120"/>
      <c r="H119" s="120"/>
      <c r="I119" s="119">
        <f>ROUND(SUM(I112:I118),5)</f>
        <v>0</v>
      </c>
      <c r="J119" s="119">
        <f>J118</f>
        <v>0</v>
      </c>
    </row>
    <row r="120" spans="1:10">
      <c r="A120" s="115"/>
      <c r="B120" s="115" t="s">
        <v>367</v>
      </c>
      <c r="C120" s="115"/>
      <c r="D120" s="121"/>
      <c r="E120" s="115"/>
      <c r="F120" s="115"/>
      <c r="G120" s="115"/>
      <c r="H120" s="115"/>
      <c r="I120" s="122"/>
      <c r="J120" s="122">
        <v>0</v>
      </c>
    </row>
    <row r="121" spans="1:10">
      <c r="A121" s="120"/>
      <c r="B121" s="120"/>
      <c r="C121" s="120" t="s">
        <v>351</v>
      </c>
      <c r="D121" s="123">
        <v>44676</v>
      </c>
      <c r="E121" s="120"/>
      <c r="F121" s="120"/>
      <c r="G121" s="120" t="s">
        <v>658</v>
      </c>
      <c r="H121" s="120" t="s">
        <v>514</v>
      </c>
      <c r="I121" s="119">
        <v>793.5</v>
      </c>
      <c r="J121" s="119">
        <f>ROUND(J120+I121,5)</f>
        <v>793.5</v>
      </c>
    </row>
    <row r="122" spans="1:10">
      <c r="A122" s="120"/>
      <c r="B122" s="120"/>
      <c r="C122" s="120" t="s">
        <v>351</v>
      </c>
      <c r="D122" s="123">
        <v>44684</v>
      </c>
      <c r="E122" s="120"/>
      <c r="F122" s="120"/>
      <c r="G122" s="120" t="s">
        <v>351</v>
      </c>
      <c r="H122" s="120" t="s">
        <v>514</v>
      </c>
      <c r="I122" s="119">
        <v>60</v>
      </c>
      <c r="J122" s="119">
        <f>ROUND(J121+I122,5)</f>
        <v>853.5</v>
      </c>
    </row>
    <row r="123" spans="1:10" ht="15.75" thickBot="1">
      <c r="A123" s="120"/>
      <c r="B123" s="120"/>
      <c r="C123" s="120" t="s">
        <v>351</v>
      </c>
      <c r="D123" s="123">
        <v>44733</v>
      </c>
      <c r="E123" s="120"/>
      <c r="F123" s="120"/>
      <c r="G123" s="120" t="s">
        <v>659</v>
      </c>
      <c r="H123" s="120" t="s">
        <v>514</v>
      </c>
      <c r="I123" s="148">
        <v>74</v>
      </c>
      <c r="J123" s="148">
        <f>ROUND(J122+I123,5)</f>
        <v>927.5</v>
      </c>
    </row>
    <row r="124" spans="1:10">
      <c r="A124" s="120"/>
      <c r="B124" s="120" t="s">
        <v>368</v>
      </c>
      <c r="C124" s="120"/>
      <c r="D124" s="123"/>
      <c r="E124" s="120"/>
      <c r="F124" s="120"/>
      <c r="G124" s="120"/>
      <c r="H124" s="120"/>
      <c r="I124" s="119">
        <f>ROUND(SUM(I120:I123),5)</f>
        <v>927.5</v>
      </c>
      <c r="J124" s="119">
        <f>J123</f>
        <v>927.5</v>
      </c>
    </row>
    <row r="125" spans="1:10">
      <c r="A125" s="115"/>
      <c r="B125" s="115" t="s">
        <v>369</v>
      </c>
      <c r="C125" s="115"/>
      <c r="D125" s="121"/>
      <c r="E125" s="115"/>
      <c r="F125" s="115"/>
      <c r="G125" s="115"/>
      <c r="H125" s="115"/>
      <c r="I125" s="122"/>
      <c r="J125" s="122">
        <v>0</v>
      </c>
    </row>
    <row r="126" spans="1:10">
      <c r="A126" s="120"/>
      <c r="B126" s="120"/>
      <c r="C126" s="120" t="s">
        <v>351</v>
      </c>
      <c r="D126" s="123">
        <v>44536</v>
      </c>
      <c r="E126" s="120"/>
      <c r="F126" s="120"/>
      <c r="G126" s="120" t="s">
        <v>351</v>
      </c>
      <c r="H126" s="120" t="s">
        <v>514</v>
      </c>
      <c r="I126" s="119">
        <v>3152.85</v>
      </c>
      <c r="J126" s="119">
        <f t="shared" ref="J126:J132" si="10">ROUND(J125+I126,5)</f>
        <v>3152.85</v>
      </c>
    </row>
    <row r="127" spans="1:10">
      <c r="A127" s="120"/>
      <c r="B127" s="120"/>
      <c r="C127" s="120" t="s">
        <v>351</v>
      </c>
      <c r="D127" s="123">
        <v>44542</v>
      </c>
      <c r="E127" s="120"/>
      <c r="F127" s="120"/>
      <c r="G127" s="120" t="s">
        <v>351</v>
      </c>
      <c r="H127" s="120" t="s">
        <v>514</v>
      </c>
      <c r="I127" s="119">
        <v>370</v>
      </c>
      <c r="J127" s="119">
        <f t="shared" si="10"/>
        <v>3522.85</v>
      </c>
    </row>
    <row r="128" spans="1:10">
      <c r="A128" s="120"/>
      <c r="B128" s="120"/>
      <c r="C128" s="120" t="s">
        <v>351</v>
      </c>
      <c r="D128" s="123">
        <v>44545</v>
      </c>
      <c r="E128" s="120"/>
      <c r="F128" s="120"/>
      <c r="G128" s="120" t="s">
        <v>660</v>
      </c>
      <c r="H128" s="120" t="s">
        <v>514</v>
      </c>
      <c r="I128" s="119">
        <v>19.36</v>
      </c>
      <c r="J128" s="119">
        <f t="shared" si="10"/>
        <v>3542.21</v>
      </c>
    </row>
    <row r="129" spans="1:10">
      <c r="A129" s="120"/>
      <c r="B129" s="120"/>
      <c r="C129" s="120" t="s">
        <v>533</v>
      </c>
      <c r="D129" s="123">
        <v>44545</v>
      </c>
      <c r="E129" s="120" t="s">
        <v>661</v>
      </c>
      <c r="F129" s="120"/>
      <c r="G129" s="120" t="s">
        <v>662</v>
      </c>
      <c r="H129" s="120" t="s">
        <v>537</v>
      </c>
      <c r="I129" s="119">
        <v>0.64</v>
      </c>
      <c r="J129" s="119">
        <f t="shared" si="10"/>
        <v>3542.85</v>
      </c>
    </row>
    <row r="130" spans="1:10">
      <c r="A130" s="120"/>
      <c r="B130" s="120"/>
      <c r="C130" s="120" t="s">
        <v>351</v>
      </c>
      <c r="D130" s="123">
        <v>44565</v>
      </c>
      <c r="E130" s="120"/>
      <c r="F130" s="120"/>
      <c r="G130" s="120" t="s">
        <v>663</v>
      </c>
      <c r="H130" s="120" t="s">
        <v>514</v>
      </c>
      <c r="I130" s="119">
        <v>15</v>
      </c>
      <c r="J130" s="119">
        <f t="shared" si="10"/>
        <v>3557.85</v>
      </c>
    </row>
    <row r="131" spans="1:10">
      <c r="A131" s="120"/>
      <c r="B131" s="120"/>
      <c r="C131" s="120" t="s">
        <v>352</v>
      </c>
      <c r="D131" s="123">
        <v>44580</v>
      </c>
      <c r="E131" s="120" t="s">
        <v>664</v>
      </c>
      <c r="F131" s="120" t="s">
        <v>548</v>
      </c>
      <c r="G131" s="120" t="s">
        <v>665</v>
      </c>
      <c r="H131" s="120" t="s">
        <v>514</v>
      </c>
      <c r="I131" s="119">
        <v>-3557.85</v>
      </c>
      <c r="J131" s="119">
        <f t="shared" si="10"/>
        <v>0</v>
      </c>
    </row>
    <row r="132" spans="1:10" ht="15.75" thickBot="1">
      <c r="A132" s="120"/>
      <c r="B132" s="120"/>
      <c r="C132" s="120" t="s">
        <v>533</v>
      </c>
      <c r="D132" s="123">
        <v>44731</v>
      </c>
      <c r="E132" s="120" t="s">
        <v>602</v>
      </c>
      <c r="F132" s="120"/>
      <c r="G132" s="120" t="s">
        <v>603</v>
      </c>
      <c r="H132" s="120" t="s">
        <v>77</v>
      </c>
      <c r="I132" s="148">
        <v>100</v>
      </c>
      <c r="J132" s="148">
        <f t="shared" si="10"/>
        <v>100</v>
      </c>
    </row>
    <row r="133" spans="1:10">
      <c r="A133" s="120"/>
      <c r="B133" s="120" t="s">
        <v>370</v>
      </c>
      <c r="C133" s="120"/>
      <c r="D133" s="123"/>
      <c r="E133" s="120"/>
      <c r="F133" s="120"/>
      <c r="G133" s="120"/>
      <c r="H133" s="120"/>
      <c r="I133" s="119">
        <f>ROUND(SUM(I125:I132),5)</f>
        <v>100</v>
      </c>
      <c r="J133" s="119">
        <f>J132</f>
        <v>100</v>
      </c>
    </row>
    <row r="134" spans="1:10">
      <c r="A134" s="115"/>
      <c r="B134" s="115" t="s">
        <v>335</v>
      </c>
      <c r="C134" s="115"/>
      <c r="D134" s="121"/>
      <c r="E134" s="115"/>
      <c r="F134" s="115"/>
      <c r="G134" s="115"/>
      <c r="H134" s="115"/>
      <c r="I134" s="122"/>
      <c r="J134" s="122">
        <v>0</v>
      </c>
    </row>
    <row r="135" spans="1:10">
      <c r="A135" s="120"/>
      <c r="B135" s="120"/>
      <c r="C135" s="120" t="s">
        <v>351</v>
      </c>
      <c r="D135" s="123">
        <v>44424</v>
      </c>
      <c r="E135" s="120"/>
      <c r="F135" s="120"/>
      <c r="G135" s="120" t="s">
        <v>371</v>
      </c>
      <c r="H135" s="120" t="s">
        <v>514</v>
      </c>
      <c r="I135" s="119">
        <v>1583</v>
      </c>
      <c r="J135" s="119">
        <f t="shared" ref="J135:J147" si="11">ROUND(J134+I135,5)</f>
        <v>1583</v>
      </c>
    </row>
    <row r="136" spans="1:10">
      <c r="A136" s="120"/>
      <c r="B136" s="120"/>
      <c r="C136" s="120" t="s">
        <v>352</v>
      </c>
      <c r="D136" s="123">
        <v>44461</v>
      </c>
      <c r="E136" s="120" t="s">
        <v>666</v>
      </c>
      <c r="F136" s="120" t="s">
        <v>548</v>
      </c>
      <c r="G136" s="120" t="s">
        <v>667</v>
      </c>
      <c r="H136" s="120" t="s">
        <v>514</v>
      </c>
      <c r="I136" s="119">
        <v>-1583</v>
      </c>
      <c r="J136" s="119">
        <f t="shared" si="11"/>
        <v>0</v>
      </c>
    </row>
    <row r="137" spans="1:10">
      <c r="A137" s="120"/>
      <c r="B137" s="120"/>
      <c r="C137" s="120" t="s">
        <v>351</v>
      </c>
      <c r="D137" s="123">
        <v>44517</v>
      </c>
      <c r="E137" s="120"/>
      <c r="F137" s="120"/>
      <c r="G137" s="120" t="s">
        <v>668</v>
      </c>
      <c r="H137" s="120" t="s">
        <v>514</v>
      </c>
      <c r="I137" s="119">
        <v>38.69</v>
      </c>
      <c r="J137" s="119">
        <f t="shared" si="11"/>
        <v>38.69</v>
      </c>
    </row>
    <row r="138" spans="1:10">
      <c r="A138" s="120"/>
      <c r="B138" s="120"/>
      <c r="C138" s="120" t="s">
        <v>533</v>
      </c>
      <c r="D138" s="123">
        <v>44517</v>
      </c>
      <c r="E138" s="120" t="s">
        <v>669</v>
      </c>
      <c r="F138" s="120"/>
      <c r="G138" s="120" t="s">
        <v>670</v>
      </c>
      <c r="H138" s="120" t="s">
        <v>537</v>
      </c>
      <c r="I138" s="119">
        <v>1.3</v>
      </c>
      <c r="J138" s="119">
        <f t="shared" si="11"/>
        <v>39.99</v>
      </c>
    </row>
    <row r="139" spans="1:10">
      <c r="A139" s="120"/>
      <c r="B139" s="120"/>
      <c r="C139" s="120" t="s">
        <v>351</v>
      </c>
      <c r="D139" s="123">
        <v>44529</v>
      </c>
      <c r="E139" s="120"/>
      <c r="F139" s="120"/>
      <c r="G139" s="120" t="s">
        <v>671</v>
      </c>
      <c r="H139" s="120" t="s">
        <v>514</v>
      </c>
      <c r="I139" s="119">
        <v>2408</v>
      </c>
      <c r="J139" s="119">
        <f t="shared" si="11"/>
        <v>2447.9899999999998</v>
      </c>
    </row>
    <row r="140" spans="1:10">
      <c r="A140" s="120"/>
      <c r="B140" s="120"/>
      <c r="C140" s="120" t="s">
        <v>351</v>
      </c>
      <c r="D140" s="123">
        <v>44529</v>
      </c>
      <c r="E140" s="120"/>
      <c r="F140" s="120"/>
      <c r="G140" s="120" t="s">
        <v>551</v>
      </c>
      <c r="H140" s="120" t="s">
        <v>514</v>
      </c>
      <c r="I140" s="119">
        <v>335</v>
      </c>
      <c r="J140" s="119">
        <f t="shared" si="11"/>
        <v>2782.99</v>
      </c>
    </row>
    <row r="141" spans="1:10">
      <c r="A141" s="120"/>
      <c r="B141" s="120"/>
      <c r="C141" s="120" t="s">
        <v>351</v>
      </c>
      <c r="D141" s="123">
        <v>44530</v>
      </c>
      <c r="E141" s="120"/>
      <c r="F141" s="120"/>
      <c r="G141" s="120" t="s">
        <v>672</v>
      </c>
      <c r="H141" s="120" t="s">
        <v>514</v>
      </c>
      <c r="I141" s="119">
        <v>98.06</v>
      </c>
      <c r="J141" s="119">
        <f t="shared" si="11"/>
        <v>2881.05</v>
      </c>
    </row>
    <row r="142" spans="1:10">
      <c r="A142" s="120"/>
      <c r="B142" s="120"/>
      <c r="C142" s="120" t="s">
        <v>533</v>
      </c>
      <c r="D142" s="123">
        <v>44530</v>
      </c>
      <c r="E142" s="120" t="s">
        <v>673</v>
      </c>
      <c r="F142" s="120"/>
      <c r="G142" s="120" t="s">
        <v>674</v>
      </c>
      <c r="H142" s="120" t="s">
        <v>537</v>
      </c>
      <c r="I142" s="119">
        <v>1.94</v>
      </c>
      <c r="J142" s="119">
        <f t="shared" si="11"/>
        <v>2882.99</v>
      </c>
    </row>
    <row r="143" spans="1:10">
      <c r="A143" s="120"/>
      <c r="B143" s="120"/>
      <c r="C143" s="120" t="s">
        <v>351</v>
      </c>
      <c r="D143" s="123">
        <v>44536</v>
      </c>
      <c r="E143" s="120"/>
      <c r="F143" s="120"/>
      <c r="G143" s="120" t="s">
        <v>675</v>
      </c>
      <c r="H143" s="120" t="s">
        <v>514</v>
      </c>
      <c r="I143" s="119">
        <v>30</v>
      </c>
      <c r="J143" s="119">
        <f t="shared" si="11"/>
        <v>2912.99</v>
      </c>
    </row>
    <row r="144" spans="1:10">
      <c r="A144" s="120"/>
      <c r="B144" s="120"/>
      <c r="C144" s="120" t="s">
        <v>351</v>
      </c>
      <c r="D144" s="123">
        <v>44538</v>
      </c>
      <c r="E144" s="120"/>
      <c r="F144" s="120"/>
      <c r="G144" s="120" t="s">
        <v>676</v>
      </c>
      <c r="H144" s="120" t="s">
        <v>514</v>
      </c>
      <c r="I144" s="119">
        <v>136.86000000000001</v>
      </c>
      <c r="J144" s="119">
        <f t="shared" si="11"/>
        <v>3049.85</v>
      </c>
    </row>
    <row r="145" spans="1:10">
      <c r="A145" s="120"/>
      <c r="B145" s="120"/>
      <c r="C145" s="120" t="s">
        <v>533</v>
      </c>
      <c r="D145" s="123">
        <v>44538</v>
      </c>
      <c r="E145" s="120" t="s">
        <v>677</v>
      </c>
      <c r="F145" s="120"/>
      <c r="G145" s="120" t="s">
        <v>678</v>
      </c>
      <c r="H145" s="120" t="s">
        <v>537</v>
      </c>
      <c r="I145" s="119">
        <v>3.14</v>
      </c>
      <c r="J145" s="119">
        <f t="shared" si="11"/>
        <v>3052.99</v>
      </c>
    </row>
    <row r="146" spans="1:10">
      <c r="A146" s="120"/>
      <c r="B146" s="120"/>
      <c r="C146" s="120" t="s">
        <v>351</v>
      </c>
      <c r="D146" s="123">
        <v>44565</v>
      </c>
      <c r="E146" s="120"/>
      <c r="F146" s="120"/>
      <c r="G146" s="120" t="s">
        <v>679</v>
      </c>
      <c r="H146" s="120" t="s">
        <v>514</v>
      </c>
      <c r="I146" s="119">
        <v>25</v>
      </c>
      <c r="J146" s="119">
        <f t="shared" si="11"/>
        <v>3077.99</v>
      </c>
    </row>
    <row r="147" spans="1:10" ht="15.75" thickBot="1">
      <c r="A147" s="120"/>
      <c r="B147" s="120"/>
      <c r="C147" s="120" t="s">
        <v>352</v>
      </c>
      <c r="D147" s="123">
        <v>44580</v>
      </c>
      <c r="E147" s="120" t="s">
        <v>680</v>
      </c>
      <c r="F147" s="120" t="s">
        <v>552</v>
      </c>
      <c r="G147" s="120" t="s">
        <v>681</v>
      </c>
      <c r="H147" s="120" t="s">
        <v>514</v>
      </c>
      <c r="I147" s="148">
        <v>-3077.99</v>
      </c>
      <c r="J147" s="148">
        <f t="shared" si="11"/>
        <v>0</v>
      </c>
    </row>
    <row r="148" spans="1:10">
      <c r="A148" s="120"/>
      <c r="B148" s="120" t="s">
        <v>372</v>
      </c>
      <c r="C148" s="120"/>
      <c r="D148" s="123"/>
      <c r="E148" s="120"/>
      <c r="F148" s="120"/>
      <c r="G148" s="120"/>
      <c r="H148" s="120"/>
      <c r="I148" s="119">
        <v>0</v>
      </c>
      <c r="J148" s="119">
        <v>0</v>
      </c>
    </row>
    <row r="149" spans="1:10">
      <c r="A149" s="115"/>
      <c r="B149" s="115" t="s">
        <v>566</v>
      </c>
      <c r="C149" s="115"/>
      <c r="D149" s="121"/>
      <c r="E149" s="115"/>
      <c r="F149" s="115"/>
      <c r="G149" s="115"/>
      <c r="H149" s="115"/>
      <c r="I149" s="122"/>
      <c r="J149" s="122">
        <v>0</v>
      </c>
    </row>
    <row r="150" spans="1:10" ht="15.75" thickBot="1">
      <c r="A150" s="149"/>
      <c r="B150" s="149"/>
      <c r="C150" s="120" t="s">
        <v>351</v>
      </c>
      <c r="D150" s="123">
        <v>44679</v>
      </c>
      <c r="E150" s="120"/>
      <c r="F150" s="120"/>
      <c r="G150" s="120" t="s">
        <v>351</v>
      </c>
      <c r="H150" s="120" t="s">
        <v>451</v>
      </c>
      <c r="I150" s="119">
        <v>210</v>
      </c>
      <c r="J150" s="119">
        <f>ROUND(J149+I150,5)</f>
        <v>210</v>
      </c>
    </row>
    <row r="151" spans="1:10" ht="15.75" thickBot="1">
      <c r="A151" s="120"/>
      <c r="B151" s="120" t="s">
        <v>682</v>
      </c>
      <c r="C151" s="120"/>
      <c r="D151" s="123"/>
      <c r="E151" s="120"/>
      <c r="F151" s="120"/>
      <c r="G151" s="120"/>
      <c r="H151" s="120"/>
      <c r="I151" s="151">
        <f>ROUND(SUM(I149:I150),5)</f>
        <v>210</v>
      </c>
      <c r="J151" s="151">
        <f>J150</f>
        <v>210</v>
      </c>
    </row>
    <row r="152" spans="1:10" ht="15.75" thickBot="1">
      <c r="A152" s="120" t="s">
        <v>336</v>
      </c>
      <c r="B152" s="120"/>
      <c r="C152" s="120"/>
      <c r="D152" s="123"/>
      <c r="E152" s="120"/>
      <c r="F152" s="120"/>
      <c r="G152" s="120"/>
      <c r="H152" s="120"/>
      <c r="I152" s="151">
        <f>ROUND(I13+I25+I34+I47+I60+I71+I74+I82+I93+I111+I119+I124+I133+I148+I151,5)</f>
        <v>5577.4</v>
      </c>
      <c r="J152" s="151">
        <f>ROUND(J13+J25+J34+J47+J60+J71+J74+J82+J93+J111+J119+J124+J133+J148+J151,5)</f>
        <v>9043.4</v>
      </c>
    </row>
    <row r="153" spans="1:10" s="114" customFormat="1" ht="12" thickBot="1">
      <c r="A153" s="115" t="s">
        <v>683</v>
      </c>
      <c r="B153" s="115"/>
      <c r="C153" s="115"/>
      <c r="D153" s="121"/>
      <c r="E153" s="115"/>
      <c r="F153" s="115"/>
      <c r="G153" s="115"/>
      <c r="H153" s="115"/>
      <c r="I153" s="152">
        <f>I152</f>
        <v>5577.4</v>
      </c>
      <c r="J153" s="152">
        <f>J152</f>
        <v>9043.4</v>
      </c>
    </row>
    <row r="154" spans="1:10" ht="15.75" thickTop="1"/>
    <row r="156" spans="1:10">
      <c r="H156" s="156" t="s">
        <v>373</v>
      </c>
      <c r="I156" s="124">
        <f>I4+I5+I6+I7+I8+I9+I11+I12+I15+I16+I17+I18+I19+I21+I22+I23+I24+I27+I28+I29+I30+I31+I32+I36+I37+I38+I39+I41+I42+I43+I44+I45+I46+I49+I50+I51+I53+I54+I55+I56+I57+I58+I59+I62+I63+I64+I65+I66+I67+I68+I69+I73+I76+I77+I78+I79+I81+I84+I85+I86+I87+I88+I90+I91+I92+I96+I97+I98+I99+I100+I102+I103+I104+I105+I109+I113+I114+I115+I116+I117+I121+I122+I123+I126+I127+I128+I129+I130+I132+I135+I137+I138+I139+I140+I141+I142+I143+I144+I145+I146</f>
        <v>56138.15</v>
      </c>
    </row>
    <row r="157" spans="1:10">
      <c r="H157" s="156" t="s">
        <v>450</v>
      </c>
      <c r="I157" s="124">
        <f>I10+I20+I33+I40+I52+I70+I80+I89+I101+I106+I118+I131+I136+I147</f>
        <v>-50770.75</v>
      </c>
    </row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tabColor theme="6" tint="-0.249977111117893"/>
  </sheetPr>
  <dimension ref="A1:N105"/>
  <sheetViews>
    <sheetView topLeftCell="A76" zoomScaleNormal="100" workbookViewId="0">
      <selection activeCell="I69" sqref="I69"/>
    </sheetView>
  </sheetViews>
  <sheetFormatPr defaultRowHeight="15"/>
  <cols>
    <col min="1" max="1" width="12.7109375" style="35" customWidth="1"/>
    <col min="2" max="4" width="9.140625" style="35"/>
    <col min="5" max="5" width="12.28515625" style="35" bestFit="1" customWidth="1"/>
    <col min="6" max="6" width="10.5703125" style="35" bestFit="1" customWidth="1"/>
    <col min="7" max="7" width="13.42578125" style="35" bestFit="1" customWidth="1"/>
    <col min="8" max="9" width="13.28515625" style="35" customWidth="1"/>
    <col min="10" max="10" width="2.7109375" style="35" customWidth="1"/>
    <col min="11" max="11" width="19.7109375" style="35" bestFit="1" customWidth="1"/>
    <col min="12" max="12" width="14.28515625" style="35" bestFit="1" customWidth="1"/>
    <col min="13" max="13" width="19.7109375" style="35" bestFit="1" customWidth="1"/>
    <col min="14" max="14" width="14.28515625" style="35" bestFit="1" customWidth="1"/>
    <col min="15" max="16384" width="9.140625" style="35"/>
  </cols>
  <sheetData>
    <row r="1" spans="1:10" ht="18.75">
      <c r="A1" s="34" t="s">
        <v>40</v>
      </c>
      <c r="B1" s="34"/>
      <c r="C1" s="34"/>
      <c r="D1" s="34"/>
      <c r="E1" s="34"/>
    </row>
    <row r="2" spans="1:10" ht="18.75">
      <c r="A2" s="34" t="s">
        <v>41</v>
      </c>
      <c r="B2" s="34"/>
      <c r="C2" s="34"/>
      <c r="D2" s="34"/>
      <c r="E2" s="34"/>
    </row>
    <row r="3" spans="1:10" ht="18.75">
      <c r="A3" s="34" t="s">
        <v>71</v>
      </c>
      <c r="B3" s="34"/>
      <c r="C3" s="34"/>
      <c r="D3" s="34"/>
      <c r="E3" s="34"/>
    </row>
    <row r="4" spans="1:10" ht="18.75">
      <c r="A4" s="34"/>
      <c r="B4" s="34"/>
      <c r="C4" s="34"/>
      <c r="D4" s="34"/>
      <c r="E4" s="34"/>
    </row>
    <row r="5" spans="1:10">
      <c r="G5" s="36" t="s">
        <v>72</v>
      </c>
      <c r="H5" s="36" t="s">
        <v>73</v>
      </c>
      <c r="I5" s="36" t="s">
        <v>22</v>
      </c>
    </row>
    <row r="6" spans="1:10">
      <c r="A6" s="37" t="s">
        <v>18</v>
      </c>
    </row>
    <row r="7" spans="1:10">
      <c r="B7" s="35" t="s">
        <v>0</v>
      </c>
      <c r="G7" s="38" t="e">
        <f>#REF!+#REF!+#REF!</f>
        <v>#REF!</v>
      </c>
      <c r="H7" s="38" t="e">
        <f>#REF!+#REF!+#REF!</f>
        <v>#REF!</v>
      </c>
      <c r="I7" s="39" t="e">
        <f>+G7-H7</f>
        <v>#REF!</v>
      </c>
    </row>
    <row r="8" spans="1:10">
      <c r="B8" s="35" t="s">
        <v>39</v>
      </c>
      <c r="G8" s="38" t="e">
        <f>#REF!+#REF!+#REF!</f>
        <v>#REF!</v>
      </c>
      <c r="H8" s="38" t="e">
        <f>#REF!+#REF!+#REF!</f>
        <v>#REF!</v>
      </c>
      <c r="I8" s="39" t="e">
        <f t="shared" ref="I8:I10" si="0">+G8-H8</f>
        <v>#REF!</v>
      </c>
    </row>
    <row r="9" spans="1:10">
      <c r="B9" s="35" t="s">
        <v>1</v>
      </c>
      <c r="G9" s="38" t="e">
        <f>#REF!+#REF!</f>
        <v>#REF!</v>
      </c>
      <c r="H9" s="38" t="e">
        <f>#REF!+#REF!+#REF!</f>
        <v>#REF!</v>
      </c>
      <c r="I9" s="39" t="e">
        <f t="shared" si="0"/>
        <v>#REF!</v>
      </c>
    </row>
    <row r="10" spans="1:10" ht="17.25">
      <c r="B10" s="35" t="s">
        <v>2</v>
      </c>
      <c r="G10" s="40" t="e">
        <f>#REF!</f>
        <v>#REF!</v>
      </c>
      <c r="H10" s="40" t="e">
        <f>#REF!</f>
        <v>#REF!</v>
      </c>
      <c r="I10" s="41" t="e">
        <f t="shared" si="0"/>
        <v>#REF!</v>
      </c>
    </row>
    <row r="11" spans="1:10">
      <c r="G11" s="40"/>
      <c r="H11" s="40"/>
    </row>
    <row r="12" spans="1:10">
      <c r="C12" s="37" t="s">
        <v>17</v>
      </c>
      <c r="G12" s="38" t="e">
        <f>SUM(G7:G10)</f>
        <v>#REF!</v>
      </c>
      <c r="H12" s="38" t="e">
        <f>SUM(H7:H10)</f>
        <v>#REF!</v>
      </c>
      <c r="I12" s="38" t="e">
        <f>SUM(I7:I10)</f>
        <v>#REF!</v>
      </c>
      <c r="J12" s="39"/>
    </row>
    <row r="13" spans="1:10" ht="12" customHeight="1">
      <c r="G13" s="38"/>
      <c r="H13" s="38"/>
    </row>
    <row r="14" spans="1:10">
      <c r="A14" s="37" t="s">
        <v>19</v>
      </c>
      <c r="G14" s="38"/>
      <c r="H14" s="38"/>
    </row>
    <row r="15" spans="1:10" ht="17.25">
      <c r="B15" s="35" t="s">
        <v>65</v>
      </c>
      <c r="G15" s="40" t="e">
        <f>#REF!+#REF!+#REF!</f>
        <v>#REF!</v>
      </c>
      <c r="H15" s="40" t="e">
        <f>#REF!+#REF!+#REF!+#REF!</f>
        <v>#REF!</v>
      </c>
      <c r="I15" s="41" t="e">
        <f t="shared" ref="I15" si="1">+G15-H15</f>
        <v>#REF!</v>
      </c>
    </row>
    <row r="16" spans="1:10" ht="12" customHeight="1">
      <c r="G16" s="38"/>
      <c r="H16" s="38"/>
    </row>
    <row r="17" spans="1:11" ht="17.25">
      <c r="C17" s="37" t="s">
        <v>3</v>
      </c>
      <c r="G17" s="33" t="e">
        <f>+G12+G15</f>
        <v>#REF!</v>
      </c>
      <c r="H17" s="33" t="e">
        <f>+H12+H15</f>
        <v>#REF!</v>
      </c>
      <c r="I17" s="33" t="e">
        <f>+I12+I15</f>
        <v>#REF!</v>
      </c>
      <c r="J17" s="39"/>
      <c r="K17" s="42"/>
    </row>
    <row r="18" spans="1:11" ht="12" customHeight="1">
      <c r="G18" s="38"/>
      <c r="H18" s="38"/>
    </row>
    <row r="19" spans="1:11">
      <c r="A19" s="37" t="s">
        <v>20</v>
      </c>
      <c r="G19" s="38"/>
      <c r="H19" s="38"/>
    </row>
    <row r="20" spans="1:11">
      <c r="B20" s="35" t="s">
        <v>4</v>
      </c>
      <c r="G20" s="38" t="e">
        <f>#REF!</f>
        <v>#REF!</v>
      </c>
      <c r="H20" s="38" t="e">
        <f>#REF!</f>
        <v>#REF!</v>
      </c>
      <c r="I20" s="39" t="e">
        <f t="shared" ref="I20:I34" si="2">+G20-H20</f>
        <v>#REF!</v>
      </c>
    </row>
    <row r="21" spans="1:11">
      <c r="B21" s="35" t="s">
        <v>5</v>
      </c>
      <c r="G21" s="38" t="e">
        <f>#REF!+#REF!+#REF!+#REF!+#REF!+#REF!</f>
        <v>#REF!</v>
      </c>
      <c r="H21" s="38" t="e">
        <f>#REF!+#REF!+#REF!+#REF!+#REF!+#REF!</f>
        <v>#REF!</v>
      </c>
      <c r="I21" s="39" t="e">
        <f t="shared" si="2"/>
        <v>#REF!</v>
      </c>
    </row>
    <row r="22" spans="1:11">
      <c r="B22" s="35" t="s">
        <v>6</v>
      </c>
      <c r="G22" s="38" t="e">
        <f>#REF!+#REF!</f>
        <v>#REF!</v>
      </c>
      <c r="H22" s="38" t="e">
        <f>#REF!+#REF!</f>
        <v>#REF!</v>
      </c>
      <c r="I22" s="39" t="e">
        <f t="shared" si="2"/>
        <v>#REF!</v>
      </c>
    </row>
    <row r="23" spans="1:11">
      <c r="B23" s="35" t="s">
        <v>7</v>
      </c>
      <c r="G23" s="38" t="e">
        <f>#REF!+#REF!</f>
        <v>#REF!</v>
      </c>
      <c r="H23" s="38" t="e">
        <f>#REF!+#REF!</f>
        <v>#REF!</v>
      </c>
      <c r="I23" s="39" t="e">
        <f t="shared" si="2"/>
        <v>#REF!</v>
      </c>
    </row>
    <row r="24" spans="1:11">
      <c r="B24" s="35" t="s">
        <v>8</v>
      </c>
      <c r="G24" s="38" t="e">
        <f>#REF!+#REF!</f>
        <v>#REF!</v>
      </c>
      <c r="H24" s="38" t="e">
        <f>#REF!+#REF!</f>
        <v>#REF!</v>
      </c>
      <c r="I24" s="39" t="e">
        <f t="shared" si="2"/>
        <v>#REF!</v>
      </c>
    </row>
    <row r="25" spans="1:11">
      <c r="B25" s="35" t="s">
        <v>9</v>
      </c>
      <c r="G25" s="38" t="e">
        <f>#REF!</f>
        <v>#REF!</v>
      </c>
      <c r="H25" s="38" t="e">
        <f>#REF!</f>
        <v>#REF!</v>
      </c>
      <c r="I25" s="39" t="e">
        <f t="shared" si="2"/>
        <v>#REF!</v>
      </c>
    </row>
    <row r="26" spans="1:11">
      <c r="B26" s="35" t="s">
        <v>10</v>
      </c>
      <c r="G26" s="38" t="e">
        <f>#REF!+#REF!</f>
        <v>#REF!</v>
      </c>
      <c r="H26" s="38" t="e">
        <f>#REF!+#REF!</f>
        <v>#REF!</v>
      </c>
      <c r="I26" s="39" t="e">
        <f t="shared" si="2"/>
        <v>#REF!</v>
      </c>
    </row>
    <row r="27" spans="1:11">
      <c r="B27" s="35" t="s">
        <v>11</v>
      </c>
      <c r="G27" s="38" t="e">
        <f>#REF!</f>
        <v>#REF!</v>
      </c>
      <c r="H27" s="38" t="e">
        <f>#REF!</f>
        <v>#REF!</v>
      </c>
      <c r="I27" s="39" t="e">
        <f t="shared" si="2"/>
        <v>#REF!</v>
      </c>
    </row>
    <row r="28" spans="1:11">
      <c r="B28" s="35" t="s">
        <v>12</v>
      </c>
      <c r="G28" s="38" t="e">
        <f>#REF!</f>
        <v>#REF!</v>
      </c>
      <c r="H28" s="38" t="e">
        <f>#REF!</f>
        <v>#REF!</v>
      </c>
      <c r="I28" s="39" t="e">
        <f t="shared" si="2"/>
        <v>#REF!</v>
      </c>
    </row>
    <row r="29" spans="1:11">
      <c r="B29" s="35" t="s">
        <v>2</v>
      </c>
      <c r="G29" s="38" t="e">
        <f>#REF!</f>
        <v>#REF!</v>
      </c>
      <c r="H29" s="38" t="e">
        <f>#REF!</f>
        <v>#REF!</v>
      </c>
      <c r="I29" s="39" t="e">
        <f t="shared" si="2"/>
        <v>#REF!</v>
      </c>
      <c r="K29" s="35" t="s">
        <v>390</v>
      </c>
    </row>
    <row r="30" spans="1:11">
      <c r="B30" s="35" t="s">
        <v>389</v>
      </c>
      <c r="G30" s="38" t="e">
        <f>#REF!</f>
        <v>#REF!</v>
      </c>
      <c r="H30" s="38" t="e">
        <f>#REF!</f>
        <v>#REF!</v>
      </c>
      <c r="I30" s="39" t="e">
        <f t="shared" si="2"/>
        <v>#REF!</v>
      </c>
    </row>
    <row r="31" spans="1:11">
      <c r="B31" s="35" t="s">
        <v>13</v>
      </c>
      <c r="G31" s="38" t="e">
        <f>#REF!+#REF!+#REF!+#REF!</f>
        <v>#REF!</v>
      </c>
      <c r="H31" s="38" t="e">
        <f>#REF!+#REF!+#REF!+#REF!</f>
        <v>#REF!</v>
      </c>
      <c r="I31" s="39" t="e">
        <f t="shared" si="2"/>
        <v>#REF!</v>
      </c>
    </row>
    <row r="32" spans="1:11">
      <c r="B32" s="35" t="s">
        <v>14</v>
      </c>
      <c r="G32" s="38" t="e">
        <f>#REF!+#REF!+#REF!+#REF!</f>
        <v>#REF!</v>
      </c>
      <c r="H32" s="38" t="e">
        <f>#REF!+#REF!+#REF!+#REF!</f>
        <v>#REF!</v>
      </c>
      <c r="I32" s="39" t="e">
        <f t="shared" si="2"/>
        <v>#REF!</v>
      </c>
    </row>
    <row r="33" spans="1:14">
      <c r="B33" s="35" t="s">
        <v>15</v>
      </c>
      <c r="G33" s="43" t="e">
        <f>#REF!</f>
        <v>#REF!</v>
      </c>
      <c r="H33" s="43" t="e">
        <f>#REF!</f>
        <v>#REF!</v>
      </c>
      <c r="I33" s="44" t="e">
        <f t="shared" si="2"/>
        <v>#REF!</v>
      </c>
    </row>
    <row r="34" spans="1:14" ht="17.25">
      <c r="B34" s="35" t="s">
        <v>61</v>
      </c>
      <c r="G34" s="40" t="e">
        <f>#REF!</f>
        <v>#REF!</v>
      </c>
      <c r="H34" s="40" t="e">
        <f>#REF!</f>
        <v>#REF!</v>
      </c>
      <c r="I34" s="41" t="e">
        <f t="shared" si="2"/>
        <v>#REF!</v>
      </c>
    </row>
    <row r="35" spans="1:14" ht="12" customHeight="1">
      <c r="G35" s="38"/>
      <c r="H35" s="38"/>
    </row>
    <row r="36" spans="1:14" ht="17.25">
      <c r="C36" s="37" t="s">
        <v>16</v>
      </c>
      <c r="G36" s="33" t="e">
        <f>SUM(G20:G34)</f>
        <v>#REF!</v>
      </c>
      <c r="H36" s="33" t="e">
        <f>SUM(H20:H34)</f>
        <v>#REF!</v>
      </c>
      <c r="I36" s="33" t="e">
        <f>+G36-H36</f>
        <v>#REF!</v>
      </c>
      <c r="J36" s="39"/>
      <c r="K36" s="176">
        <v>2017</v>
      </c>
      <c r="L36" s="177"/>
      <c r="M36" s="176">
        <v>2016</v>
      </c>
      <c r="N36" s="177"/>
    </row>
    <row r="37" spans="1:14" ht="12" customHeight="1">
      <c r="G37" s="38"/>
      <c r="H37" s="38"/>
      <c r="I37" s="38"/>
      <c r="K37" s="45" t="s">
        <v>375</v>
      </c>
      <c r="L37" s="46" t="s">
        <v>376</v>
      </c>
      <c r="M37" s="45" t="s">
        <v>375</v>
      </c>
      <c r="N37" s="46" t="s">
        <v>376</v>
      </c>
    </row>
    <row r="38" spans="1:14">
      <c r="C38" s="37" t="s">
        <v>21</v>
      </c>
      <c r="G38" s="38" t="e">
        <f>+G17-G36</f>
        <v>#REF!</v>
      </c>
      <c r="H38" s="38" t="e">
        <f>+H17-H36</f>
        <v>#REF!</v>
      </c>
      <c r="I38" s="43" t="e">
        <f>+I17-I36</f>
        <v>#REF!</v>
      </c>
      <c r="J38" s="39"/>
      <c r="K38" s="47" t="e">
        <f>G38-#REF!</f>
        <v>#REF!</v>
      </c>
      <c r="L38" s="48" t="e">
        <f>F68+F69-F58</f>
        <v>#REF!</v>
      </c>
      <c r="M38" s="47" t="e">
        <f>H38-#REF!</f>
        <v>#REF!</v>
      </c>
      <c r="N38" s="48" t="e">
        <f>#REF!+#REF!+#REF!-#REF!</f>
        <v>#REF!</v>
      </c>
    </row>
    <row r="39" spans="1:14">
      <c r="G39" s="38"/>
      <c r="H39" s="38"/>
    </row>
    <row r="40" spans="1:14" ht="18.75">
      <c r="A40" s="49" t="s">
        <v>62</v>
      </c>
      <c r="G40" s="36" t="s">
        <v>72</v>
      </c>
      <c r="H40" s="36" t="s">
        <v>73</v>
      </c>
      <c r="I40" s="36" t="s">
        <v>22</v>
      </c>
    </row>
    <row r="41" spans="1:14">
      <c r="B41" s="35" t="s">
        <v>266</v>
      </c>
      <c r="G41" s="38">
        <v>0</v>
      </c>
      <c r="H41" s="38">
        <v>0</v>
      </c>
      <c r="I41" s="39">
        <f>+G41-H41</f>
        <v>0</v>
      </c>
    </row>
    <row r="42" spans="1:14">
      <c r="B42" s="35" t="s">
        <v>391</v>
      </c>
      <c r="G42" s="38">
        <v>0</v>
      </c>
      <c r="H42" s="38">
        <v>0</v>
      </c>
      <c r="I42" s="39">
        <f t="shared" ref="I42:I45" si="3">+G42-H42</f>
        <v>0</v>
      </c>
    </row>
    <row r="43" spans="1:14">
      <c r="B43" s="35" t="s">
        <v>23</v>
      </c>
      <c r="G43" s="38">
        <v>0</v>
      </c>
      <c r="H43" s="38">
        <v>0</v>
      </c>
      <c r="I43" s="39">
        <f t="shared" si="3"/>
        <v>0</v>
      </c>
    </row>
    <row r="44" spans="1:14">
      <c r="B44" s="35" t="s">
        <v>69</v>
      </c>
      <c r="G44" s="43">
        <v>0</v>
      </c>
      <c r="H44" s="43">
        <v>0</v>
      </c>
      <c r="I44" s="39">
        <f t="shared" si="3"/>
        <v>0</v>
      </c>
    </row>
    <row r="45" spans="1:14" ht="17.25">
      <c r="B45" s="35" t="s">
        <v>70</v>
      </c>
      <c r="G45" s="33">
        <v>196057</v>
      </c>
      <c r="H45" s="33">
        <v>196057</v>
      </c>
      <c r="I45" s="41">
        <f t="shared" si="3"/>
        <v>0</v>
      </c>
    </row>
    <row r="46" spans="1:14">
      <c r="G46" s="39">
        <f>SUM(G41:G45)</f>
        <v>196057</v>
      </c>
      <c r="H46" s="39">
        <f>SUM(H41:H45)</f>
        <v>196057</v>
      </c>
      <c r="I46" s="39">
        <f>SUM(I41:I45)</f>
        <v>0</v>
      </c>
    </row>
    <row r="47" spans="1:14" ht="12" customHeight="1"/>
    <row r="48" spans="1:14" ht="17.25">
      <c r="A48" s="37" t="s">
        <v>24</v>
      </c>
      <c r="G48" s="41">
        <v>373240</v>
      </c>
      <c r="H48" s="41">
        <v>426560</v>
      </c>
      <c r="I48" s="41">
        <f>+G48-H48</f>
        <v>-53320</v>
      </c>
    </row>
    <row r="49" spans="1:9" ht="12" customHeight="1"/>
    <row r="50" spans="1:9" ht="17.25">
      <c r="E50" s="37" t="s">
        <v>25</v>
      </c>
      <c r="G50" s="50">
        <f>+G46+G48</f>
        <v>569297</v>
      </c>
      <c r="H50" s="50">
        <f>+H46+H48</f>
        <v>622617</v>
      </c>
      <c r="I50" s="50">
        <f>+I46+I48</f>
        <v>-53320</v>
      </c>
    </row>
    <row r="52" spans="1:9" ht="18.75">
      <c r="A52" s="34" t="s">
        <v>40</v>
      </c>
      <c r="D52" s="34"/>
      <c r="E52" s="34"/>
    </row>
    <row r="53" spans="1:9" ht="18.75">
      <c r="A53" s="34" t="s">
        <v>42</v>
      </c>
      <c r="B53" s="51"/>
      <c r="C53" s="51"/>
      <c r="D53" s="34"/>
      <c r="E53" s="34"/>
    </row>
    <row r="54" spans="1:9" ht="18.75">
      <c r="A54" s="34" t="s">
        <v>71</v>
      </c>
      <c r="B54" s="51"/>
      <c r="C54" s="51"/>
      <c r="D54" s="34"/>
      <c r="E54" s="34"/>
    </row>
    <row r="55" spans="1:9" ht="17.25">
      <c r="A55" s="35" t="s">
        <v>307</v>
      </c>
      <c r="E55" s="38"/>
      <c r="F55" s="38"/>
      <c r="G55" s="33" t="e">
        <f>#REF!</f>
        <v>#REF!</v>
      </c>
      <c r="H55" s="38"/>
      <c r="I55" s="38"/>
    </row>
    <row r="56" spans="1:9">
      <c r="A56" s="52" t="s">
        <v>26</v>
      </c>
      <c r="E56" s="38"/>
      <c r="F56" s="38"/>
      <c r="G56" s="38"/>
      <c r="H56" s="38"/>
      <c r="I56" s="38"/>
    </row>
    <row r="57" spans="1:9">
      <c r="A57" s="35" t="s">
        <v>63</v>
      </c>
      <c r="E57" s="38"/>
      <c r="F57" s="38" t="e">
        <f>G38</f>
        <v>#REF!</v>
      </c>
      <c r="G57" s="38"/>
      <c r="H57" s="38"/>
      <c r="I57" s="38"/>
    </row>
    <row r="58" spans="1:9">
      <c r="A58" s="35" t="s">
        <v>64</v>
      </c>
      <c r="E58" s="38"/>
      <c r="F58" s="38" t="e">
        <f>#REF!</f>
        <v>#REF!</v>
      </c>
      <c r="G58" s="38"/>
      <c r="H58" s="38"/>
      <c r="I58" s="38"/>
    </row>
    <row r="59" spans="1:9">
      <c r="A59" s="35" t="s">
        <v>27</v>
      </c>
      <c r="E59" s="38"/>
      <c r="F59" s="38" t="e">
        <f>#REF!</f>
        <v>#REF!</v>
      </c>
      <c r="G59" s="38"/>
      <c r="H59" s="38"/>
      <c r="I59" s="38"/>
    </row>
    <row r="60" spans="1:9">
      <c r="A60" s="35" t="s">
        <v>66</v>
      </c>
      <c r="E60" s="38"/>
      <c r="F60" s="38">
        <v>0</v>
      </c>
      <c r="G60" s="38"/>
      <c r="H60" s="38"/>
      <c r="I60" s="38"/>
    </row>
    <row r="61" spans="1:9" ht="12" customHeight="1">
      <c r="E61" s="38"/>
      <c r="F61" s="38"/>
      <c r="G61" s="38"/>
      <c r="H61" s="38"/>
      <c r="I61" s="38"/>
    </row>
    <row r="62" spans="1:9" ht="17.25">
      <c r="C62" s="37" t="s">
        <v>28</v>
      </c>
      <c r="E62" s="38"/>
      <c r="F62" s="38"/>
      <c r="G62" s="33" t="e">
        <f>SUM(F57:F60)</f>
        <v>#REF!</v>
      </c>
      <c r="H62" s="38"/>
      <c r="I62" s="38"/>
    </row>
    <row r="63" spans="1:9" ht="17.25">
      <c r="C63" s="37" t="s">
        <v>29</v>
      </c>
      <c r="E63" s="38"/>
      <c r="F63" s="38"/>
      <c r="G63" s="33" t="e">
        <f>+G55+G62</f>
        <v>#REF!</v>
      </c>
      <c r="H63" s="38"/>
      <c r="I63" s="38"/>
    </row>
    <row r="64" spans="1:9" ht="12" customHeight="1">
      <c r="C64" s="37"/>
      <c r="E64" s="38"/>
      <c r="F64" s="38"/>
      <c r="G64" s="33"/>
      <c r="H64" s="38"/>
      <c r="I64" s="38"/>
    </row>
    <row r="65" spans="1:12">
      <c r="A65" s="35" t="s">
        <v>30</v>
      </c>
      <c r="E65" s="38"/>
      <c r="F65" s="38"/>
      <c r="G65" s="38"/>
      <c r="H65" s="38"/>
      <c r="I65" s="38"/>
    </row>
    <row r="66" spans="1:12">
      <c r="A66" s="35" t="s">
        <v>43</v>
      </c>
      <c r="E66" s="38"/>
      <c r="F66" s="38">
        <v>0</v>
      </c>
      <c r="G66" s="38"/>
      <c r="H66" s="38"/>
      <c r="I66" s="38"/>
    </row>
    <row r="67" spans="1:12">
      <c r="A67" s="35" t="s">
        <v>31</v>
      </c>
      <c r="E67" s="38"/>
      <c r="F67" s="38" t="e">
        <f>-#REF!</f>
        <v>#REF!</v>
      </c>
      <c r="G67" s="38"/>
      <c r="H67" s="38"/>
      <c r="I67" s="38"/>
    </row>
    <row r="68" spans="1:12">
      <c r="A68" s="35" t="s">
        <v>32</v>
      </c>
      <c r="E68" s="38"/>
      <c r="F68" s="38">
        <v>53320</v>
      </c>
      <c r="G68" s="38"/>
      <c r="H68" s="38"/>
      <c r="I68" s="38"/>
    </row>
    <row r="69" spans="1:12">
      <c r="A69" s="35" t="s">
        <v>67</v>
      </c>
      <c r="E69" s="38"/>
      <c r="F69" s="38" t="e">
        <f>#REF!</f>
        <v>#REF!</v>
      </c>
      <c r="G69" s="38"/>
      <c r="H69" s="38"/>
      <c r="I69" s="38"/>
    </row>
    <row r="70" spans="1:12">
      <c r="A70" s="35" t="s">
        <v>68</v>
      </c>
      <c r="E70" s="38"/>
      <c r="F70" s="38">
        <v>0</v>
      </c>
      <c r="G70" s="38"/>
      <c r="H70" s="38"/>
      <c r="I70" s="38"/>
    </row>
    <row r="71" spans="1:12" ht="12" customHeight="1">
      <c r="E71" s="38"/>
      <c r="F71" s="38"/>
      <c r="G71" s="38"/>
      <c r="H71" s="38"/>
      <c r="I71" s="38"/>
    </row>
    <row r="72" spans="1:12" ht="17.25">
      <c r="C72" s="37" t="s">
        <v>33</v>
      </c>
      <c r="E72" s="38"/>
      <c r="F72" s="38"/>
      <c r="G72" s="33" t="e">
        <f>SUM(F66:F70)</f>
        <v>#REF!</v>
      </c>
      <c r="H72" s="38"/>
      <c r="I72" s="38"/>
    </row>
    <row r="73" spans="1:12" ht="17.25">
      <c r="A73" s="35" t="s">
        <v>309</v>
      </c>
      <c r="G73" s="33" t="e">
        <f>+G63-G72</f>
        <v>#REF!</v>
      </c>
      <c r="K73" s="53" t="e">
        <f>#REF!-'2016 - 2017'!G73</f>
        <v>#REF!</v>
      </c>
    </row>
    <row r="74" spans="1:12" ht="12" customHeight="1"/>
    <row r="75" spans="1:12" ht="18.75">
      <c r="A75" s="49" t="s">
        <v>34</v>
      </c>
      <c r="G75" s="36" t="s">
        <v>72</v>
      </c>
      <c r="H75" s="36" t="s">
        <v>73</v>
      </c>
    </row>
    <row r="76" spans="1:12">
      <c r="A76" s="35" t="s">
        <v>35</v>
      </c>
      <c r="G76" s="38">
        <v>0</v>
      </c>
      <c r="H76" s="38">
        <v>0</v>
      </c>
      <c r="K76" s="38"/>
    </row>
    <row r="77" spans="1:12">
      <c r="A77" s="35" t="s">
        <v>36</v>
      </c>
      <c r="G77" s="38" t="e">
        <f>#REF!</f>
        <v>#REF!</v>
      </c>
      <c r="H77" s="38" t="e">
        <f>#REF!+#REF!+#REF!</f>
        <v>#REF!</v>
      </c>
      <c r="K77" s="38"/>
    </row>
    <row r="78" spans="1:12" ht="17.25">
      <c r="A78" s="35" t="s">
        <v>37</v>
      </c>
      <c r="G78" s="33" t="e">
        <f>#REF!</f>
        <v>#REF!</v>
      </c>
      <c r="H78" s="33" t="e">
        <f>#REF!</f>
        <v>#REF!</v>
      </c>
      <c r="K78" s="38"/>
    </row>
    <row r="79" spans="1:12" ht="12" customHeight="1">
      <c r="G79" s="38"/>
      <c r="H79" s="38"/>
      <c r="K79" s="38"/>
    </row>
    <row r="80" spans="1:12" ht="17.25">
      <c r="C80" s="37" t="s">
        <v>38</v>
      </c>
      <c r="G80" s="33" t="e">
        <f>SUM(G76:G79)</f>
        <v>#REF!</v>
      </c>
      <c r="H80" s="33" t="e">
        <f>SUM(H76:H79)</f>
        <v>#REF!</v>
      </c>
      <c r="K80" s="54"/>
      <c r="L80" s="54"/>
    </row>
    <row r="81" spans="2:9" ht="17.25">
      <c r="C81" s="37"/>
      <c r="G81" s="33"/>
      <c r="H81" s="33"/>
      <c r="I81" s="38"/>
    </row>
    <row r="82" spans="2:9" ht="18.75">
      <c r="E82" s="34" t="s">
        <v>44</v>
      </c>
      <c r="H82" s="38"/>
      <c r="I82" s="38"/>
    </row>
    <row r="83" spans="2:9" ht="18.75">
      <c r="D83" s="34" t="s">
        <v>45</v>
      </c>
    </row>
    <row r="84" spans="2:9" ht="18.75">
      <c r="D84" s="34" t="s">
        <v>308</v>
      </c>
      <c r="E84" s="34"/>
    </row>
    <row r="85" spans="2:9">
      <c r="B85" s="52" t="s">
        <v>46</v>
      </c>
    </row>
    <row r="86" spans="2:9">
      <c r="B86" s="35" t="s">
        <v>47</v>
      </c>
    </row>
    <row r="87" spans="2:9">
      <c r="B87" s="35" t="s">
        <v>48</v>
      </c>
      <c r="E87" s="40" t="e">
        <f>G77</f>
        <v>#REF!</v>
      </c>
      <c r="G87" s="55"/>
    </row>
    <row r="88" spans="2:9">
      <c r="B88" s="35" t="s">
        <v>49</v>
      </c>
      <c r="E88" s="38" t="e">
        <f>+E87</f>
        <v>#REF!</v>
      </c>
      <c r="G88" s="55"/>
    </row>
    <row r="89" spans="2:9" ht="12" customHeight="1">
      <c r="E89" s="38"/>
      <c r="G89" s="55"/>
    </row>
    <row r="90" spans="2:9">
      <c r="B90" s="35" t="s">
        <v>50</v>
      </c>
      <c r="E90" s="38"/>
      <c r="G90" s="55"/>
    </row>
    <row r="91" spans="2:9" ht="17.25">
      <c r="B91" s="35" t="s">
        <v>51</v>
      </c>
      <c r="E91" s="33" t="e">
        <f>G78</f>
        <v>#REF!</v>
      </c>
      <c r="G91" s="55"/>
    </row>
    <row r="92" spans="2:9">
      <c r="B92" s="35" t="s">
        <v>59</v>
      </c>
      <c r="E92" s="43" t="e">
        <f>+E91</f>
        <v>#REF!</v>
      </c>
      <c r="G92" s="55"/>
    </row>
    <row r="93" spans="2:9" ht="12" customHeight="1">
      <c r="E93" s="38"/>
      <c r="G93" s="55"/>
    </row>
    <row r="94" spans="2:9">
      <c r="B94" s="35" t="s">
        <v>60</v>
      </c>
      <c r="E94" s="40" t="e">
        <f>+E88+E92</f>
        <v>#REF!</v>
      </c>
      <c r="G94" s="55"/>
    </row>
    <row r="95" spans="2:9">
      <c r="B95" s="52" t="s">
        <v>52</v>
      </c>
      <c r="E95" s="56" t="e">
        <f>+E94</f>
        <v>#REF!</v>
      </c>
      <c r="G95" s="55"/>
    </row>
    <row r="96" spans="2:9" ht="12" customHeight="1">
      <c r="E96" s="38"/>
      <c r="G96" s="55"/>
    </row>
    <row r="97" spans="2:7">
      <c r="B97" s="52" t="s">
        <v>53</v>
      </c>
      <c r="E97" s="38"/>
      <c r="G97" s="55"/>
    </row>
    <row r="98" spans="2:7">
      <c r="B98" s="35" t="s">
        <v>377</v>
      </c>
      <c r="E98" s="38" t="e">
        <f>#REF!</f>
        <v>#REF!</v>
      </c>
      <c r="G98" s="55"/>
    </row>
    <row r="99" spans="2:7" ht="12" customHeight="1">
      <c r="B99" s="52"/>
      <c r="E99" s="38"/>
      <c r="G99" s="55"/>
    </row>
    <row r="100" spans="2:7">
      <c r="B100" s="35" t="s">
        <v>54</v>
      </c>
      <c r="E100" s="38"/>
      <c r="G100" s="55"/>
    </row>
    <row r="101" spans="2:7">
      <c r="B101" s="35" t="s">
        <v>55</v>
      </c>
      <c r="E101" s="38" t="e">
        <f>+G55</f>
        <v>#REF!</v>
      </c>
      <c r="G101" s="55"/>
    </row>
    <row r="102" spans="2:7">
      <c r="B102" s="35" t="s">
        <v>56</v>
      </c>
      <c r="E102" s="38" t="e">
        <f>#REF!</f>
        <v>#REF!</v>
      </c>
      <c r="G102" s="55"/>
    </row>
    <row r="103" spans="2:7">
      <c r="B103" s="35" t="s">
        <v>57</v>
      </c>
      <c r="E103" s="40" t="e">
        <f>+E101+E102</f>
        <v>#REF!</v>
      </c>
      <c r="G103" s="55"/>
    </row>
    <row r="104" spans="2:7" ht="12" customHeight="1">
      <c r="E104" s="38"/>
      <c r="G104" s="55"/>
    </row>
    <row r="105" spans="2:7">
      <c r="B105" s="52" t="s">
        <v>58</v>
      </c>
      <c r="E105" s="56" t="e">
        <f>+E103+E98</f>
        <v>#REF!</v>
      </c>
      <c r="G105" s="55"/>
    </row>
  </sheetData>
  <mergeCells count="2">
    <mergeCell ref="K36:L36"/>
    <mergeCell ref="M36:N36"/>
  </mergeCells>
  <pageMargins left="0.45" right="0.45" top="0.25" bottom="0.25" header="0.3" footer="0.05"/>
  <pageSetup scale="96" fitToHeight="3" orientation="portrait" horizontalDpi="300" verticalDpi="300" r:id="rId1"/>
  <rowBreaks count="2" manualBreakCount="2">
    <brk id="51" max="8" man="1"/>
    <brk id="80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>
    <tabColor theme="6" tint="-0.249977111117893"/>
    <pageSetUpPr fitToPage="1"/>
  </sheetPr>
  <dimension ref="A1:O107"/>
  <sheetViews>
    <sheetView topLeftCell="A55" zoomScaleNormal="100" workbookViewId="0">
      <selection activeCell="G38" sqref="G38"/>
    </sheetView>
  </sheetViews>
  <sheetFormatPr defaultRowHeight="15"/>
  <cols>
    <col min="1" max="1" width="12.7109375" style="35" customWidth="1"/>
    <col min="2" max="4" width="9.140625" style="35"/>
    <col min="5" max="5" width="12.28515625" style="35" bestFit="1" customWidth="1"/>
    <col min="6" max="6" width="10.5703125" style="35" bestFit="1" customWidth="1"/>
    <col min="7" max="7" width="13.42578125" style="35" bestFit="1" customWidth="1"/>
    <col min="8" max="9" width="13.28515625" style="35" customWidth="1"/>
    <col min="10" max="10" width="2.7109375" style="35" customWidth="1"/>
    <col min="11" max="11" width="19.7109375" style="35" bestFit="1" customWidth="1"/>
    <col min="12" max="12" width="14.28515625" style="35" bestFit="1" customWidth="1"/>
    <col min="13" max="13" width="19.7109375" style="35" bestFit="1" customWidth="1"/>
    <col min="14" max="14" width="14.28515625" style="35" bestFit="1" customWidth="1"/>
    <col min="15" max="16384" width="9.140625" style="35"/>
  </cols>
  <sheetData>
    <row r="1" spans="1:10" ht="18.75">
      <c r="A1" s="34" t="s">
        <v>40</v>
      </c>
      <c r="B1" s="34"/>
      <c r="C1" s="34"/>
      <c r="D1" s="34"/>
      <c r="E1" s="34"/>
    </row>
    <row r="2" spans="1:10" ht="18.75">
      <c r="A2" s="34" t="s">
        <v>41</v>
      </c>
      <c r="B2" s="34"/>
      <c r="C2" s="34"/>
      <c r="D2" s="34"/>
      <c r="E2" s="34"/>
    </row>
    <row r="3" spans="1:10" ht="18.75">
      <c r="A3" s="34" t="s">
        <v>392</v>
      </c>
      <c r="B3" s="34"/>
      <c r="C3" s="34"/>
      <c r="D3" s="34"/>
      <c r="E3" s="34"/>
    </row>
    <row r="4" spans="1:10" ht="18.75">
      <c r="A4" s="34"/>
      <c r="B4" s="34"/>
      <c r="C4" s="34"/>
      <c r="D4" s="34"/>
      <c r="E4" s="34"/>
    </row>
    <row r="5" spans="1:10">
      <c r="I5" s="36" t="s">
        <v>22</v>
      </c>
    </row>
    <row r="6" spans="1:10">
      <c r="A6" s="37" t="s">
        <v>18</v>
      </c>
    </row>
    <row r="7" spans="1:10">
      <c r="B7" s="35" t="s">
        <v>0</v>
      </c>
      <c r="G7" s="38" t="e">
        <f>#REF!+#REF!</f>
        <v>#REF!</v>
      </c>
      <c r="H7" s="38">
        <v>920021.32000000007</v>
      </c>
      <c r="I7" s="39" t="e">
        <f>+G7-H7</f>
        <v>#REF!</v>
      </c>
    </row>
    <row r="8" spans="1:10">
      <c r="B8" s="35" t="s">
        <v>39</v>
      </c>
      <c r="G8" s="38" t="e">
        <f>#REF!+#REF!+#REF!</f>
        <v>#REF!</v>
      </c>
      <c r="H8" s="38">
        <v>78498.52</v>
      </c>
      <c r="I8" s="39" t="e">
        <f t="shared" ref="I8:I10" si="0">+G8-H8</f>
        <v>#REF!</v>
      </c>
    </row>
    <row r="9" spans="1:10">
      <c r="B9" s="57" t="s">
        <v>446</v>
      </c>
      <c r="G9" s="38" t="e">
        <f>#REF!+#REF!+#REF!</f>
        <v>#REF!</v>
      </c>
      <c r="H9" s="38" t="e">
        <f>#REF!+#REF!+#REF!</f>
        <v>#REF!</v>
      </c>
      <c r="I9" s="39" t="e">
        <f t="shared" si="0"/>
        <v>#REF!</v>
      </c>
    </row>
    <row r="10" spans="1:10" ht="17.25">
      <c r="B10" s="35" t="s">
        <v>2</v>
      </c>
      <c r="G10" s="40" t="e">
        <f>#REF!</f>
        <v>#REF!</v>
      </c>
      <c r="H10" s="40">
        <v>54884.88</v>
      </c>
      <c r="I10" s="41" t="e">
        <f t="shared" si="0"/>
        <v>#REF!</v>
      </c>
    </row>
    <row r="11" spans="1:10">
      <c r="G11" s="40"/>
      <c r="H11" s="40"/>
    </row>
    <row r="12" spans="1:10">
      <c r="C12" s="37" t="s">
        <v>17</v>
      </c>
      <c r="G12" s="38" t="e">
        <f>SUM(G7:G10)</f>
        <v>#REF!</v>
      </c>
      <c r="H12" s="38" t="e">
        <f>SUM(H7:H10)</f>
        <v>#REF!</v>
      </c>
      <c r="I12" s="38" t="e">
        <f>SUM(I7:I10)</f>
        <v>#REF!</v>
      </c>
      <c r="J12" s="39"/>
    </row>
    <row r="13" spans="1:10" ht="12" customHeight="1">
      <c r="G13" s="38"/>
      <c r="H13" s="38"/>
    </row>
    <row r="14" spans="1:10">
      <c r="A14" s="37" t="s">
        <v>19</v>
      </c>
      <c r="G14" s="38"/>
      <c r="H14" s="38"/>
    </row>
    <row r="15" spans="1:10" ht="17.25">
      <c r="B15" s="57" t="s">
        <v>447</v>
      </c>
      <c r="G15" s="40" t="e">
        <f>#REF!+#REF!+#REF!+#REF!+#REF!</f>
        <v>#REF!</v>
      </c>
      <c r="H15" s="40" t="e">
        <f>#REF!+#REF!</f>
        <v>#REF!</v>
      </c>
      <c r="I15" s="41" t="e">
        <f t="shared" ref="I15" si="1">+G15-H15</f>
        <v>#REF!</v>
      </c>
    </row>
    <row r="16" spans="1:10" ht="12" customHeight="1">
      <c r="G16" s="38"/>
      <c r="H16" s="38"/>
    </row>
    <row r="17" spans="1:15" ht="17.25">
      <c r="C17" s="37" t="s">
        <v>3</v>
      </c>
      <c r="G17" s="33" t="e">
        <f>+G12+G15</f>
        <v>#REF!</v>
      </c>
      <c r="H17" s="33" t="e">
        <f>+H12+H15</f>
        <v>#REF!</v>
      </c>
      <c r="I17" s="33" t="e">
        <f>+I12+I15</f>
        <v>#REF!</v>
      </c>
      <c r="J17" s="39"/>
      <c r="K17" s="42"/>
    </row>
    <row r="18" spans="1:15" ht="12" customHeight="1">
      <c r="G18" s="38"/>
      <c r="H18" s="38"/>
    </row>
    <row r="19" spans="1:15">
      <c r="A19" s="37" t="s">
        <v>20</v>
      </c>
      <c r="G19" s="38"/>
      <c r="H19" s="38"/>
    </row>
    <row r="20" spans="1:15">
      <c r="B20" s="35" t="s">
        <v>4</v>
      </c>
      <c r="G20" s="38" t="e">
        <f>#REF!</f>
        <v>#REF!</v>
      </c>
      <c r="H20" s="38">
        <v>106899.96</v>
      </c>
      <c r="I20" s="39" t="e">
        <f t="shared" ref="I20:I34" si="2">+G20-H20</f>
        <v>#REF!</v>
      </c>
    </row>
    <row r="21" spans="1:15">
      <c r="B21" s="35" t="s">
        <v>5</v>
      </c>
      <c r="G21" s="38" t="e">
        <f>-#REF!+(-#REF!)+#REF!+#REF!+#REF!+#REF!+#REF!</f>
        <v>#REF!</v>
      </c>
      <c r="H21" s="38" t="e">
        <f>-#REF!+(-#REF!+#REF!)+#REF!+#REF!+#REF!+#REF!+#REF!</f>
        <v>#REF!</v>
      </c>
      <c r="I21" s="39" t="e">
        <f t="shared" si="2"/>
        <v>#REF!</v>
      </c>
    </row>
    <row r="22" spans="1:15">
      <c r="B22" s="35" t="s">
        <v>6</v>
      </c>
      <c r="G22" s="38" t="e">
        <f>#REF!+#REF!</f>
        <v>#REF!</v>
      </c>
      <c r="H22" s="38">
        <v>36998.93</v>
      </c>
      <c r="I22" s="39" t="e">
        <f t="shared" si="2"/>
        <v>#REF!</v>
      </c>
    </row>
    <row r="23" spans="1:15">
      <c r="B23" s="35" t="s">
        <v>7</v>
      </c>
      <c r="G23" s="38" t="e">
        <f>#REF!+#REF!+#REF!</f>
        <v>#REF!</v>
      </c>
      <c r="H23" s="38">
        <v>67911.33</v>
      </c>
      <c r="I23" s="39" t="e">
        <f t="shared" si="2"/>
        <v>#REF!</v>
      </c>
    </row>
    <row r="24" spans="1:15">
      <c r="B24" s="35" t="s">
        <v>8</v>
      </c>
      <c r="G24" s="38" t="e">
        <f>#REF!+#REF!</f>
        <v>#REF!</v>
      </c>
      <c r="H24" s="38">
        <v>17110</v>
      </c>
      <c r="I24" s="39" t="e">
        <f t="shared" si="2"/>
        <v>#REF!</v>
      </c>
    </row>
    <row r="25" spans="1:15">
      <c r="B25" s="35" t="s">
        <v>9</v>
      </c>
      <c r="G25" s="38" t="e">
        <f>#REF!+#REF!</f>
        <v>#REF!</v>
      </c>
      <c r="H25" s="38">
        <v>16175.9</v>
      </c>
      <c r="I25" s="39" t="e">
        <f t="shared" si="2"/>
        <v>#REF!</v>
      </c>
    </row>
    <row r="26" spans="1:15">
      <c r="B26" s="35" t="s">
        <v>10</v>
      </c>
      <c r="G26" s="38" t="e">
        <f>#REF!+#REF!</f>
        <v>#REF!</v>
      </c>
      <c r="H26" s="38">
        <v>24925.8</v>
      </c>
      <c r="I26" s="39" t="e">
        <f t="shared" si="2"/>
        <v>#REF!</v>
      </c>
    </row>
    <row r="27" spans="1:15">
      <c r="B27" s="35" t="s">
        <v>11</v>
      </c>
      <c r="G27" s="38" t="e">
        <f>#REF!</f>
        <v>#REF!</v>
      </c>
      <c r="H27" s="38">
        <v>8873.48</v>
      </c>
      <c r="I27" s="39" t="e">
        <f t="shared" si="2"/>
        <v>#REF!</v>
      </c>
    </row>
    <row r="28" spans="1:15">
      <c r="B28" s="35" t="s">
        <v>12</v>
      </c>
      <c r="G28" s="38" t="e">
        <f>#REF!</f>
        <v>#REF!</v>
      </c>
      <c r="H28" s="38">
        <v>1812.51</v>
      </c>
      <c r="I28" s="39" t="e">
        <f t="shared" si="2"/>
        <v>#REF!</v>
      </c>
    </row>
    <row r="29" spans="1:15">
      <c r="B29" s="35" t="s">
        <v>2</v>
      </c>
      <c r="G29" s="38" t="e">
        <f>#REF!</f>
        <v>#REF!</v>
      </c>
      <c r="H29" s="38">
        <v>16352.4</v>
      </c>
      <c r="I29" s="39" t="e">
        <f t="shared" si="2"/>
        <v>#REF!</v>
      </c>
      <c r="K29" s="58" t="s">
        <v>448</v>
      </c>
      <c r="L29" s="58"/>
      <c r="M29" s="58"/>
      <c r="N29" s="58"/>
      <c r="O29" s="58"/>
    </row>
    <row r="30" spans="1:15">
      <c r="B30" s="35" t="s">
        <v>389</v>
      </c>
      <c r="G30" s="38" t="e">
        <f>#REF!</f>
        <v>#REF!</v>
      </c>
      <c r="H30" s="38">
        <v>13931.69</v>
      </c>
      <c r="I30" s="39" t="e">
        <f t="shared" si="2"/>
        <v>#REF!</v>
      </c>
    </row>
    <row r="31" spans="1:15">
      <c r="B31" s="35" t="s">
        <v>13</v>
      </c>
      <c r="G31" s="38" t="e">
        <f>#REF!+#REF!+#REF!+#REF!</f>
        <v>#REF!</v>
      </c>
      <c r="H31" s="38">
        <v>115678.11000000002</v>
      </c>
      <c r="I31" s="39" t="e">
        <f t="shared" si="2"/>
        <v>#REF!</v>
      </c>
    </row>
    <row r="32" spans="1:15">
      <c r="B32" s="35" t="s">
        <v>14</v>
      </c>
      <c r="G32" s="38" t="e">
        <f>#REF!+#REF!+#REF!+#REF!</f>
        <v>#REF!</v>
      </c>
      <c r="H32" s="38">
        <v>40162.26</v>
      </c>
      <c r="I32" s="39" t="e">
        <f t="shared" si="2"/>
        <v>#REF!</v>
      </c>
    </row>
    <row r="33" spans="1:14">
      <c r="B33" s="35" t="s">
        <v>15</v>
      </c>
      <c r="G33" s="43" t="e">
        <f>#REF!+#REF!</f>
        <v>#REF!</v>
      </c>
      <c r="H33" s="38">
        <v>18608.849999999999</v>
      </c>
      <c r="I33" s="44" t="e">
        <f t="shared" si="2"/>
        <v>#REF!</v>
      </c>
    </row>
    <row r="34" spans="1:14" ht="17.25">
      <c r="B34" s="35" t="s">
        <v>61</v>
      </c>
      <c r="G34" s="40" t="e">
        <f>#REF!</f>
        <v>#REF!</v>
      </c>
      <c r="H34" s="40">
        <v>81000</v>
      </c>
      <c r="I34" s="41" t="e">
        <f t="shared" si="2"/>
        <v>#REF!</v>
      </c>
    </row>
    <row r="35" spans="1:14" ht="12" customHeight="1">
      <c r="G35" s="38"/>
      <c r="H35" s="38"/>
    </row>
    <row r="36" spans="1:14" ht="17.25">
      <c r="C36" s="37" t="s">
        <v>16</v>
      </c>
      <c r="G36" s="33" t="e">
        <f>SUM(G20:G34)</f>
        <v>#REF!</v>
      </c>
      <c r="H36" s="33" t="e">
        <f>SUM(H20:H34)</f>
        <v>#REF!</v>
      </c>
      <c r="I36" s="33" t="e">
        <f>+G36-H36</f>
        <v>#REF!</v>
      </c>
      <c r="J36" s="39"/>
      <c r="K36" s="176">
        <v>2018</v>
      </c>
      <c r="L36" s="177"/>
      <c r="M36" s="176">
        <v>2017</v>
      </c>
      <c r="N36" s="177"/>
    </row>
    <row r="37" spans="1:14" ht="12" customHeight="1">
      <c r="G37" s="38"/>
      <c r="H37" s="38"/>
      <c r="I37" s="38"/>
      <c r="K37" s="45" t="s">
        <v>375</v>
      </c>
      <c r="L37" s="46" t="s">
        <v>376</v>
      </c>
      <c r="M37" s="45" t="s">
        <v>375</v>
      </c>
      <c r="N37" s="46" t="s">
        <v>376</v>
      </c>
    </row>
    <row r="38" spans="1:14">
      <c r="C38" s="37" t="s">
        <v>21</v>
      </c>
      <c r="G38" s="38" t="e">
        <f>+G17-G36</f>
        <v>#REF!</v>
      </c>
      <c r="H38" s="38" t="e">
        <f>+H17-H36</f>
        <v>#REF!</v>
      </c>
      <c r="I38" s="43" t="e">
        <f>+I17-I36</f>
        <v>#REF!</v>
      </c>
      <c r="J38" s="39"/>
      <c r="K38" s="47" t="e">
        <f>G38-#REF!</f>
        <v>#REF!</v>
      </c>
      <c r="L38" s="48" t="e">
        <f>F68+F69-F58</f>
        <v>#REF!</v>
      </c>
      <c r="M38" s="47" t="e">
        <f>H38-#REF!</f>
        <v>#REF!</v>
      </c>
      <c r="N38" s="48" t="e">
        <f>L38</f>
        <v>#REF!</v>
      </c>
    </row>
    <row r="39" spans="1:14">
      <c r="G39" s="38"/>
      <c r="H39" s="38"/>
    </row>
    <row r="40" spans="1:14" ht="18.75">
      <c r="A40" s="49" t="s">
        <v>62</v>
      </c>
      <c r="G40" s="36" t="s">
        <v>393</v>
      </c>
      <c r="H40" s="36" t="s">
        <v>72</v>
      </c>
      <c r="I40" s="36" t="s">
        <v>22</v>
      </c>
    </row>
    <row r="41" spans="1:14">
      <c r="B41" s="35" t="s">
        <v>266</v>
      </c>
      <c r="G41" s="38">
        <v>0</v>
      </c>
      <c r="H41" s="38">
        <f t="shared" ref="H41:H44" si="3">G41</f>
        <v>0</v>
      </c>
      <c r="I41" s="39">
        <f>+G41-H41</f>
        <v>0</v>
      </c>
    </row>
    <row r="42" spans="1:14">
      <c r="B42" s="35" t="s">
        <v>391</v>
      </c>
      <c r="G42" s="38">
        <v>0</v>
      </c>
      <c r="H42" s="38">
        <f t="shared" si="3"/>
        <v>0</v>
      </c>
      <c r="I42" s="39">
        <f t="shared" ref="I42:I45" si="4">+G42-H42</f>
        <v>0</v>
      </c>
    </row>
    <row r="43" spans="1:14">
      <c r="B43" s="35" t="s">
        <v>23</v>
      </c>
      <c r="G43" s="38">
        <v>0</v>
      </c>
      <c r="H43" s="38">
        <f t="shared" si="3"/>
        <v>0</v>
      </c>
      <c r="I43" s="39">
        <f t="shared" si="4"/>
        <v>0</v>
      </c>
    </row>
    <row r="44" spans="1:14">
      <c r="B44" s="35" t="s">
        <v>69</v>
      </c>
      <c r="G44" s="43">
        <v>0</v>
      </c>
      <c r="H44" s="38">
        <f t="shared" si="3"/>
        <v>0</v>
      </c>
      <c r="I44" s="39">
        <f t="shared" si="4"/>
        <v>0</v>
      </c>
    </row>
    <row r="45" spans="1:14" ht="17.25">
      <c r="B45" s="35" t="s">
        <v>70</v>
      </c>
      <c r="G45" s="33">
        <v>194556.77</v>
      </c>
      <c r="H45" s="33">
        <v>196057</v>
      </c>
      <c r="I45" s="41">
        <f t="shared" si="4"/>
        <v>-1500.2300000000105</v>
      </c>
    </row>
    <row r="46" spans="1:14">
      <c r="G46" s="39">
        <f>SUM(G41:G45)</f>
        <v>194556.77</v>
      </c>
      <c r="H46" s="39">
        <f>SUM(H41:H45)</f>
        <v>196057</v>
      </c>
      <c r="I46" s="39">
        <f>SUM(I41:I45)</f>
        <v>-1500.2300000000105</v>
      </c>
    </row>
    <row r="47" spans="1:14" ht="12" customHeight="1"/>
    <row r="48" spans="1:14" ht="17.25">
      <c r="A48" s="37" t="s">
        <v>24</v>
      </c>
      <c r="G48" s="41">
        <v>308767</v>
      </c>
      <c r="H48" s="41">
        <v>373240</v>
      </c>
      <c r="I48" s="41">
        <f>+G48-H48</f>
        <v>-64473</v>
      </c>
    </row>
    <row r="49" spans="1:9" ht="12" customHeight="1"/>
    <row r="50" spans="1:9" ht="17.25">
      <c r="E50" s="37" t="s">
        <v>25</v>
      </c>
      <c r="G50" s="50">
        <f>+G46+G48</f>
        <v>503323.77</v>
      </c>
      <c r="H50" s="50">
        <f>+H46+H48</f>
        <v>569297</v>
      </c>
      <c r="I50" s="50">
        <f>+I46+I48</f>
        <v>-65973.23000000001</v>
      </c>
    </row>
    <row r="52" spans="1:9" ht="18.75">
      <c r="A52" s="34" t="s">
        <v>40</v>
      </c>
      <c r="D52" s="34"/>
      <c r="E52" s="34"/>
    </row>
    <row r="53" spans="1:9" ht="18.75">
      <c r="A53" s="34" t="s">
        <v>42</v>
      </c>
      <c r="B53" s="51"/>
      <c r="C53" s="51"/>
      <c r="D53" s="34"/>
      <c r="E53" s="34"/>
    </row>
    <row r="54" spans="1:9" ht="18.75">
      <c r="A54" s="34" t="str">
        <f>A3</f>
        <v xml:space="preserve">                                                              For the Fiscal Year Ended June 30, 2018</v>
      </c>
      <c r="B54" s="51"/>
      <c r="C54" s="51"/>
      <c r="D54" s="34"/>
      <c r="E54" s="34"/>
    </row>
    <row r="55" spans="1:9" ht="17.25">
      <c r="A55" s="35" t="s">
        <v>307</v>
      </c>
      <c r="E55" s="38"/>
      <c r="F55" s="38"/>
      <c r="G55" s="33" t="e">
        <f>#REF!</f>
        <v>#REF!</v>
      </c>
      <c r="H55" s="38"/>
      <c r="I55" s="38"/>
    </row>
    <row r="56" spans="1:9">
      <c r="A56" s="52" t="s">
        <v>26</v>
      </c>
      <c r="E56" s="38"/>
      <c r="F56" s="38"/>
      <c r="G56" s="38"/>
      <c r="H56" s="38"/>
      <c r="I56" s="38"/>
    </row>
    <row r="57" spans="1:9">
      <c r="A57" s="35" t="s">
        <v>63</v>
      </c>
      <c r="E57" s="38"/>
      <c r="F57" s="38" t="e">
        <f>G38</f>
        <v>#REF!</v>
      </c>
      <c r="G57" s="38"/>
      <c r="H57" s="38"/>
      <c r="I57" s="38"/>
    </row>
    <row r="58" spans="1:9">
      <c r="A58" s="35" t="s">
        <v>64</v>
      </c>
      <c r="E58" s="38"/>
      <c r="F58" s="38" t="e">
        <f>#REF!</f>
        <v>#REF!</v>
      </c>
      <c r="G58" s="38"/>
      <c r="H58" s="38"/>
      <c r="I58" s="38"/>
    </row>
    <row r="59" spans="1:9">
      <c r="A59" s="35" t="s">
        <v>27</v>
      </c>
      <c r="E59" s="38"/>
      <c r="F59" s="38" t="e">
        <f>#REF!</f>
        <v>#REF!</v>
      </c>
      <c r="G59" s="38"/>
      <c r="H59" s="38"/>
      <c r="I59" s="38"/>
    </row>
    <row r="60" spans="1:9">
      <c r="A60" s="35" t="s">
        <v>66</v>
      </c>
      <c r="E60" s="38"/>
      <c r="F60" s="38">
        <v>0</v>
      </c>
      <c r="G60" s="38"/>
      <c r="H60" s="38"/>
      <c r="I60" s="38"/>
    </row>
    <row r="61" spans="1:9" ht="12" customHeight="1">
      <c r="E61" s="38"/>
      <c r="F61" s="38"/>
      <c r="G61" s="38"/>
      <c r="H61" s="38"/>
      <c r="I61" s="38"/>
    </row>
    <row r="62" spans="1:9" ht="17.25">
      <c r="C62" s="37" t="s">
        <v>28</v>
      </c>
      <c r="E62" s="38"/>
      <c r="F62" s="38"/>
      <c r="G62" s="33" t="e">
        <f>SUM(F57:F60)</f>
        <v>#REF!</v>
      </c>
      <c r="H62" s="38"/>
      <c r="I62" s="38"/>
    </row>
    <row r="63" spans="1:9" ht="17.25">
      <c r="C63" s="37" t="s">
        <v>29</v>
      </c>
      <c r="E63" s="38"/>
      <c r="F63" s="38"/>
      <c r="G63" s="33" t="e">
        <f>+G55+G62</f>
        <v>#REF!</v>
      </c>
      <c r="H63" s="38"/>
      <c r="I63" s="38"/>
    </row>
    <row r="64" spans="1:9" ht="12" customHeight="1">
      <c r="C64" s="37"/>
      <c r="E64" s="38"/>
      <c r="F64" s="38"/>
      <c r="G64" s="33"/>
      <c r="H64" s="38"/>
      <c r="I64" s="38"/>
    </row>
    <row r="65" spans="1:12">
      <c r="A65" s="35" t="s">
        <v>30</v>
      </c>
      <c r="E65" s="38"/>
      <c r="F65" s="38"/>
      <c r="G65" s="38"/>
      <c r="H65" s="38"/>
      <c r="I65" s="38"/>
    </row>
    <row r="66" spans="1:12">
      <c r="A66" s="35" t="s">
        <v>43</v>
      </c>
      <c r="E66" s="38"/>
      <c r="F66" s="38">
        <v>0</v>
      </c>
      <c r="G66" s="38"/>
      <c r="H66" s="38"/>
      <c r="I66" s="38"/>
    </row>
    <row r="67" spans="1:12">
      <c r="A67" s="35" t="s">
        <v>31</v>
      </c>
      <c r="E67" s="38"/>
      <c r="F67" s="38" t="e">
        <f>-#REF!</f>
        <v>#REF!</v>
      </c>
      <c r="G67" s="38"/>
      <c r="H67" s="38"/>
      <c r="I67" s="38"/>
    </row>
    <row r="68" spans="1:12">
      <c r="A68" s="35" t="s">
        <v>32</v>
      </c>
      <c r="E68" s="38"/>
      <c r="F68" s="38" t="e">
        <f>#REF!</f>
        <v>#REF!</v>
      </c>
      <c r="G68" s="38"/>
      <c r="H68" s="38"/>
      <c r="I68" s="38"/>
    </row>
    <row r="69" spans="1:12">
      <c r="A69" s="35" t="s">
        <v>67</v>
      </c>
      <c r="E69" s="38"/>
      <c r="F69" s="38" t="e">
        <f>#REF!+#REF!</f>
        <v>#REF!</v>
      </c>
      <c r="G69" s="38"/>
      <c r="H69" s="38"/>
      <c r="I69" s="38"/>
    </row>
    <row r="70" spans="1:12">
      <c r="A70" s="35" t="s">
        <v>68</v>
      </c>
      <c r="E70" s="38"/>
      <c r="F70" s="38" t="e">
        <f>#REF!</f>
        <v>#REF!</v>
      </c>
      <c r="G70" s="38"/>
      <c r="H70" s="38"/>
      <c r="I70" s="38"/>
    </row>
    <row r="71" spans="1:12" ht="12" customHeight="1">
      <c r="E71" s="38"/>
      <c r="F71" s="38"/>
      <c r="G71" s="38"/>
      <c r="H71" s="38"/>
      <c r="I71" s="38"/>
    </row>
    <row r="72" spans="1:12" ht="17.25">
      <c r="C72" s="37" t="s">
        <v>33</v>
      </c>
      <c r="E72" s="38"/>
      <c r="F72" s="38"/>
      <c r="G72" s="33" t="e">
        <f>SUM(F66:F70)</f>
        <v>#REF!</v>
      </c>
      <c r="H72" s="38"/>
      <c r="I72" s="38"/>
    </row>
    <row r="73" spans="1:12" ht="17.25">
      <c r="A73" s="35" t="s">
        <v>449</v>
      </c>
      <c r="G73" s="33" t="e">
        <f>+G63-G72</f>
        <v>#REF!</v>
      </c>
      <c r="K73" s="53" t="e">
        <f>#REF!-'2017 - 2018'!G73</f>
        <v>#REF!</v>
      </c>
    </row>
    <row r="74" spans="1:12" ht="12" customHeight="1"/>
    <row r="75" spans="1:12" ht="18.75">
      <c r="A75" s="49" t="s">
        <v>34</v>
      </c>
      <c r="G75" s="36" t="s">
        <v>393</v>
      </c>
      <c r="H75" s="36" t="s">
        <v>72</v>
      </c>
    </row>
    <row r="76" spans="1:12">
      <c r="A76" s="35" t="s">
        <v>35</v>
      </c>
      <c r="G76" s="38">
        <v>0</v>
      </c>
      <c r="H76" s="38">
        <v>0</v>
      </c>
      <c r="K76" s="38"/>
    </row>
    <row r="77" spans="1:12">
      <c r="A77" s="35" t="s">
        <v>36</v>
      </c>
      <c r="G77" s="38" t="e">
        <f>#REF!</f>
        <v>#REF!</v>
      </c>
      <c r="H77" s="38">
        <v>499397.04</v>
      </c>
      <c r="K77" s="38"/>
    </row>
    <row r="78" spans="1:12" ht="17.25">
      <c r="A78" s="35" t="s">
        <v>37</v>
      </c>
      <c r="G78" s="33" t="e">
        <f>#REF!</f>
        <v>#REF!</v>
      </c>
      <c r="H78" s="33">
        <v>1856.6</v>
      </c>
      <c r="K78" s="38"/>
    </row>
    <row r="79" spans="1:12" ht="12" customHeight="1">
      <c r="G79" s="38"/>
      <c r="H79" s="38"/>
      <c r="K79" s="38"/>
    </row>
    <row r="80" spans="1:12" ht="17.25">
      <c r="C80" s="37" t="s">
        <v>38</v>
      </c>
      <c r="G80" s="33" t="e">
        <f>SUM(G76:G79)</f>
        <v>#REF!</v>
      </c>
      <c r="H80" s="33">
        <f>SUM(H76:H79)</f>
        <v>501253.63999999996</v>
      </c>
      <c r="K80" s="54"/>
      <c r="L80" s="54"/>
    </row>
    <row r="81" spans="2:9" ht="17.25">
      <c r="C81" s="37"/>
      <c r="G81" s="33"/>
      <c r="H81" s="33"/>
      <c r="I81" s="38"/>
    </row>
    <row r="82" spans="2:9" ht="18.75">
      <c r="E82" s="34" t="s">
        <v>44</v>
      </c>
      <c r="H82" s="38"/>
      <c r="I82" s="38"/>
    </row>
    <row r="83" spans="2:9" ht="18.75">
      <c r="D83" s="34" t="s">
        <v>45</v>
      </c>
    </row>
    <row r="84" spans="2:9" ht="18.75">
      <c r="D84" s="34" t="s">
        <v>394</v>
      </c>
      <c r="E84" s="34"/>
    </row>
    <row r="85" spans="2:9">
      <c r="B85" s="52" t="s">
        <v>46</v>
      </c>
    </row>
    <row r="86" spans="2:9">
      <c r="B86" s="35" t="s">
        <v>47</v>
      </c>
    </row>
    <row r="87" spans="2:9">
      <c r="B87" s="35" t="s">
        <v>48</v>
      </c>
      <c r="E87" s="40" t="e">
        <f>G77+#REF!+#REF!</f>
        <v>#REF!</v>
      </c>
      <c r="G87" s="55"/>
    </row>
    <row r="88" spans="2:9">
      <c r="B88" s="35" t="s">
        <v>49</v>
      </c>
      <c r="E88" s="38" t="e">
        <f>+E87</f>
        <v>#REF!</v>
      </c>
      <c r="G88" s="55"/>
    </row>
    <row r="89" spans="2:9" ht="12" customHeight="1">
      <c r="E89" s="38"/>
      <c r="G89" s="55"/>
    </row>
    <row r="90" spans="2:9">
      <c r="B90" s="35" t="s">
        <v>50</v>
      </c>
      <c r="E90" s="38"/>
      <c r="G90" s="55"/>
    </row>
    <row r="91" spans="2:9" ht="17.25">
      <c r="B91" s="35" t="s">
        <v>51</v>
      </c>
      <c r="E91" s="33" t="e">
        <f>G78</f>
        <v>#REF!</v>
      </c>
      <c r="G91" s="55"/>
    </row>
    <row r="92" spans="2:9">
      <c r="B92" s="35" t="s">
        <v>59</v>
      </c>
      <c r="E92" s="43" t="e">
        <f>+E91</f>
        <v>#REF!</v>
      </c>
      <c r="G92" s="55"/>
    </row>
    <row r="93" spans="2:9" ht="12" customHeight="1">
      <c r="E93" s="38"/>
      <c r="G93" s="55"/>
    </row>
    <row r="94" spans="2:9">
      <c r="B94" s="35" t="s">
        <v>60</v>
      </c>
      <c r="E94" s="40" t="e">
        <f>+E88+E92</f>
        <v>#REF!</v>
      </c>
      <c r="G94" s="55"/>
    </row>
    <row r="95" spans="2:9">
      <c r="B95" s="52" t="s">
        <v>52</v>
      </c>
      <c r="E95" s="56" t="e">
        <f>+E94</f>
        <v>#REF!</v>
      </c>
      <c r="G95" s="55"/>
    </row>
    <row r="96" spans="2:9" ht="12" customHeight="1">
      <c r="E96" s="38"/>
      <c r="G96" s="55"/>
    </row>
    <row r="97" spans="2:7">
      <c r="B97" s="52" t="s">
        <v>53</v>
      </c>
      <c r="E97" s="38"/>
      <c r="G97" s="55"/>
    </row>
    <row r="98" spans="2:7">
      <c r="B98" s="35" t="s">
        <v>377</v>
      </c>
      <c r="E98" s="38" t="e">
        <f>#REF!</f>
        <v>#REF!</v>
      </c>
      <c r="G98" s="55"/>
    </row>
    <row r="99" spans="2:7">
      <c r="B99" s="35" t="s">
        <v>456</v>
      </c>
      <c r="E99" s="38" t="e">
        <f>#REF!</f>
        <v>#REF!</v>
      </c>
      <c r="G99" s="55"/>
    </row>
    <row r="100" spans="2:7">
      <c r="B100" s="35" t="s">
        <v>457</v>
      </c>
      <c r="E100" s="38" t="e">
        <f>SUM(E98:E99)</f>
        <v>#REF!</v>
      </c>
      <c r="G100" s="55"/>
    </row>
    <row r="101" spans="2:7" ht="12" customHeight="1">
      <c r="B101" s="52"/>
      <c r="E101" s="38"/>
      <c r="G101" s="55"/>
    </row>
    <row r="102" spans="2:7">
      <c r="B102" s="35" t="s">
        <v>54</v>
      </c>
      <c r="E102" s="38"/>
      <c r="G102" s="55"/>
    </row>
    <row r="103" spans="2:7">
      <c r="B103" s="35" t="s">
        <v>55</v>
      </c>
      <c r="E103" s="38" t="e">
        <f>#REF!+#REF!</f>
        <v>#REF!</v>
      </c>
      <c r="G103" s="55"/>
    </row>
    <row r="104" spans="2:7">
      <c r="B104" s="35" t="s">
        <v>56</v>
      </c>
      <c r="E104" s="38" t="e">
        <f>#REF!</f>
        <v>#REF!</v>
      </c>
      <c r="G104" s="55"/>
    </row>
    <row r="105" spans="2:7">
      <c r="B105" s="35" t="s">
        <v>57</v>
      </c>
      <c r="E105" s="40" t="e">
        <f>SUM(E103:E104)</f>
        <v>#REF!</v>
      </c>
      <c r="G105" s="55"/>
    </row>
    <row r="106" spans="2:7" ht="12" customHeight="1">
      <c r="E106" s="38"/>
      <c r="G106" s="55"/>
    </row>
    <row r="107" spans="2:7">
      <c r="B107" s="52" t="s">
        <v>58</v>
      </c>
      <c r="E107" s="56" t="e">
        <f>E100+E105</f>
        <v>#REF!</v>
      </c>
      <c r="F107" s="39" t="e">
        <f>E107-E95</f>
        <v>#REF!</v>
      </c>
      <c r="G107" s="55"/>
    </row>
  </sheetData>
  <mergeCells count="2">
    <mergeCell ref="K36:L36"/>
    <mergeCell ref="M36:N36"/>
  </mergeCells>
  <pageMargins left="0.45" right="0.45" top="0.25" bottom="0.25" header="0.3" footer="0.05"/>
  <pageSetup scale="94" fitToHeight="0" orientation="portrait" horizontalDpi="300" verticalDpi="300" r:id="rId1"/>
  <rowBreaks count="2" manualBreakCount="2">
    <brk id="51" max="8" man="1"/>
    <brk id="8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WORKSHEET 16-17 vs 17-18 (2)</vt:lpstr>
      <vt:lpstr>2025 - 2026</vt:lpstr>
      <vt:lpstr>Data FY24</vt:lpstr>
      <vt:lpstr>BS FY24 vs FY23</vt:lpstr>
      <vt:lpstr>BS FY22 vs FY21</vt:lpstr>
      <vt:lpstr>FY21-FY22 P&amp;L</vt:lpstr>
      <vt:lpstr>2nd Collections FY22</vt:lpstr>
      <vt:lpstr>2016 - 2017</vt:lpstr>
      <vt:lpstr>2017 - 2018</vt:lpstr>
      <vt:lpstr>BS 2016-2017</vt:lpstr>
      <vt:lpstr>BUDGET PG 5</vt:lpstr>
      <vt:lpstr>'2016 - 2017'!Print_Area</vt:lpstr>
      <vt:lpstr>'2017 - 2018'!Print_Area</vt:lpstr>
      <vt:lpstr>'2025 - 2026'!Print_Area</vt:lpstr>
      <vt:lpstr>'BS FY22 vs FY21'!Print_Area</vt:lpstr>
      <vt:lpstr>'BUDGET PG 5'!Print_Area</vt:lpstr>
      <vt:lpstr>'BS 2016-2017'!Print_Titles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Manager</dc:creator>
  <cp:lastModifiedBy>Kathleen Werner</cp:lastModifiedBy>
  <cp:lastPrinted>2024-01-30T16:53:10Z</cp:lastPrinted>
  <dcterms:created xsi:type="dcterms:W3CDTF">2009-09-14T21:17:37Z</dcterms:created>
  <dcterms:modified xsi:type="dcterms:W3CDTF">2026-08-05T15:26:39Z</dcterms:modified>
</cp:coreProperties>
</file>